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CO8mXjd7TrS3OQZONVeU/TDswOCJAKaonWJUS5Mb/0kS9cGg4o1HmBrLw1fbpYGAnJuUe65v1x4OiUif8VpxQ==" workbookSaltValue="grsj2djx3D3lUc9hnyaVHw==" workbookSpinCount="100000" lockStructure="1"/>
  <bookViews>
    <workbookView xWindow="240" yWindow="105" windowWidth="1480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AB6" i="1" l="1"/>
  <c r="AB7" i="1"/>
  <c r="AB11" i="1"/>
  <c r="AB9" i="1"/>
  <c r="AB12" i="1"/>
  <c r="AB13" i="1"/>
  <c r="AB8" i="1"/>
  <c r="AB10" i="1"/>
  <c r="AB28" i="1" l="1"/>
  <c r="AB45" i="1"/>
  <c r="AB42" i="1"/>
  <c r="AB19" i="1"/>
  <c r="AB58" i="1"/>
  <c r="AB46" i="1"/>
  <c r="AB60" i="1"/>
  <c r="AB23" i="1"/>
  <c r="AB49" i="1"/>
  <c r="AB47" i="1"/>
  <c r="AB61" i="1"/>
  <c r="AB59" i="1"/>
  <c r="AB48" i="1"/>
  <c r="AB36" i="1"/>
  <c r="AB50" i="1"/>
  <c r="AB62" i="1"/>
  <c r="AB32" i="1"/>
  <c r="AB54" i="1"/>
  <c r="AB63" i="1"/>
  <c r="AB31" i="1"/>
  <c r="AB51" i="1"/>
  <c r="AB40" i="1"/>
  <c r="AB37" i="1"/>
  <c r="AB55" i="1"/>
  <c r="AB21" i="1"/>
  <c r="AB27" i="1"/>
  <c r="AB29" i="1"/>
  <c r="AB64" i="1"/>
  <c r="AB43" i="1"/>
  <c r="AB38" i="1"/>
  <c r="AB52" i="1"/>
  <c r="AB34" i="1"/>
  <c r="AB30" i="1"/>
  <c r="AB25" i="1"/>
  <c r="AB26" i="1"/>
  <c r="AB18" i="1"/>
  <c r="AB41" i="1"/>
  <c r="AB16" i="1"/>
  <c r="AB17" i="1"/>
  <c r="AB39" i="1"/>
  <c r="AB24" i="1"/>
  <c r="AB65" i="1"/>
  <c r="AB56" i="1"/>
  <c r="AB68" i="1"/>
  <c r="AB66" i="1"/>
  <c r="AB33" i="1"/>
  <c r="AB57" i="1"/>
  <c r="AB53" i="1"/>
  <c r="AB20" i="1"/>
  <c r="AB22" i="1"/>
  <c r="AB67" i="1"/>
  <c r="AB44" i="1"/>
  <c r="AB15" i="1"/>
  <c r="AB35" i="1"/>
  <c r="AA28" i="1" l="1"/>
  <c r="AA45" i="1"/>
  <c r="AA42" i="1"/>
  <c r="AA19" i="1"/>
  <c r="AA58" i="1"/>
  <c r="AA46" i="1"/>
  <c r="AA60" i="1"/>
  <c r="AA23" i="1"/>
  <c r="AA49" i="1"/>
  <c r="AA47" i="1"/>
  <c r="AA61" i="1"/>
  <c r="AA59" i="1"/>
  <c r="AA48" i="1"/>
  <c r="AA36" i="1"/>
  <c r="AA50" i="1"/>
  <c r="AA62" i="1"/>
  <c r="AA32" i="1"/>
  <c r="AA54" i="1"/>
  <c r="AA63" i="1"/>
  <c r="AA31" i="1"/>
  <c r="AA51" i="1"/>
  <c r="AA40" i="1"/>
  <c r="AA37" i="1"/>
  <c r="AA55" i="1"/>
  <c r="AA21" i="1"/>
  <c r="AA27" i="1"/>
  <c r="AA29" i="1"/>
  <c r="AA64" i="1"/>
  <c r="AA43" i="1"/>
  <c r="AA38" i="1"/>
  <c r="AA52" i="1"/>
  <c r="AA34" i="1"/>
  <c r="AA30" i="1"/>
  <c r="AA25" i="1"/>
  <c r="AA26" i="1"/>
  <c r="AA18" i="1"/>
  <c r="AA41" i="1"/>
  <c r="AA16" i="1"/>
  <c r="AA17" i="1"/>
  <c r="AA39" i="1"/>
  <c r="AA24" i="1"/>
  <c r="AA65" i="1"/>
  <c r="AA56" i="1"/>
  <c r="AA68" i="1"/>
  <c r="AA66" i="1"/>
  <c r="AA33" i="1"/>
  <c r="AA57" i="1"/>
  <c r="AA53" i="1"/>
  <c r="AA20" i="1"/>
  <c r="AA22" i="1"/>
  <c r="AA67" i="1"/>
  <c r="AA44" i="1"/>
  <c r="AA15" i="1"/>
  <c r="AA35" i="1"/>
  <c r="AA6" i="1"/>
  <c r="AA7" i="1"/>
  <c r="AA11" i="1"/>
  <c r="AA9" i="1"/>
  <c r="AA12" i="1"/>
  <c r="AA13" i="1"/>
  <c r="AA8" i="1"/>
  <c r="AA10" i="1"/>
  <c r="P73" i="1" l="1"/>
  <c r="I73" i="1"/>
  <c r="E73" i="1"/>
  <c r="J72" i="1" l="1"/>
  <c r="L72" i="1"/>
  <c r="Q72" i="1"/>
  <c r="J71" i="1"/>
  <c r="L71" i="1"/>
  <c r="Q71" i="1"/>
  <c r="E72" i="1"/>
  <c r="E71" i="1"/>
  <c r="D4" i="1"/>
  <c r="D10" i="1"/>
  <c r="D6" i="1"/>
  <c r="D7" i="1"/>
  <c r="D11" i="1"/>
  <c r="D9" i="1"/>
  <c r="D12" i="1"/>
  <c r="D13" i="1"/>
  <c r="D8" i="1"/>
  <c r="D35" i="1"/>
  <c r="L70" i="1" l="1"/>
  <c r="Q70" i="1"/>
  <c r="J70" i="1"/>
  <c r="E74" i="1"/>
  <c r="E70" i="1"/>
  <c r="P4" i="1"/>
  <c r="P71" i="1" s="1"/>
  <c r="O4" i="1"/>
  <c r="O71" i="1" s="1"/>
  <c r="N4" i="1"/>
  <c r="N71" i="1" s="1"/>
  <c r="R4" i="1"/>
  <c r="R71" i="1" s="1"/>
  <c r="H4" i="1"/>
  <c r="H71" i="1" s="1"/>
  <c r="I4" i="1"/>
  <c r="I71" i="1" s="1"/>
  <c r="G4" i="1"/>
  <c r="G71" i="1" s="1"/>
  <c r="K4" i="1"/>
  <c r="O9" i="1"/>
  <c r="H9" i="1"/>
  <c r="O7" i="1"/>
  <c r="H7" i="1"/>
  <c r="N12" i="1"/>
  <c r="F4" i="1" l="1"/>
  <c r="F71" i="1" s="1"/>
  <c r="K71" i="1"/>
  <c r="R8" i="1"/>
  <c r="N8" i="1"/>
  <c r="K8" i="1"/>
  <c r="K72" i="1" s="1"/>
  <c r="H8" i="1"/>
  <c r="G8" i="1"/>
  <c r="O10" i="1"/>
  <c r="N10" i="1"/>
  <c r="H10" i="1"/>
  <c r="G10" i="1"/>
  <c r="F7" i="1"/>
  <c r="F11" i="1"/>
  <c r="F9" i="1"/>
  <c r="F12" i="1"/>
  <c r="F13" i="1"/>
  <c r="N6" i="1"/>
  <c r="O6" i="1"/>
  <c r="P6" i="1"/>
  <c r="P72" i="1" s="1"/>
  <c r="P74" i="1" s="1"/>
  <c r="R6" i="1"/>
  <c r="X4" i="1"/>
  <c r="X10" i="1"/>
  <c r="X6" i="1"/>
  <c r="X7" i="1"/>
  <c r="X11" i="1"/>
  <c r="X9" i="1"/>
  <c r="X12" i="1"/>
  <c r="X13" i="1"/>
  <c r="X8" i="1"/>
  <c r="W4" i="1"/>
  <c r="W10" i="1"/>
  <c r="W6" i="1"/>
  <c r="W7" i="1"/>
  <c r="W11" i="1"/>
  <c r="W9" i="1"/>
  <c r="W12" i="1"/>
  <c r="W13" i="1"/>
  <c r="W8" i="1"/>
  <c r="V4" i="1"/>
  <c r="V10" i="1"/>
  <c r="V6" i="1"/>
  <c r="V7" i="1"/>
  <c r="V11" i="1"/>
  <c r="V9" i="1"/>
  <c r="V12" i="1"/>
  <c r="V13" i="1"/>
  <c r="V8" i="1"/>
  <c r="U4" i="1"/>
  <c r="U10" i="1"/>
  <c r="U6" i="1"/>
  <c r="U7" i="1"/>
  <c r="U11" i="1"/>
  <c r="U9" i="1"/>
  <c r="U12" i="1"/>
  <c r="U13" i="1"/>
  <c r="U8" i="1"/>
  <c r="T4" i="1"/>
  <c r="T10" i="1"/>
  <c r="T6" i="1"/>
  <c r="T7" i="1"/>
  <c r="T11" i="1"/>
  <c r="T9" i="1"/>
  <c r="T12" i="1"/>
  <c r="T13" i="1"/>
  <c r="T8" i="1"/>
  <c r="S4" i="1"/>
  <c r="S10" i="1"/>
  <c r="S6" i="1"/>
  <c r="S7" i="1"/>
  <c r="S11" i="1"/>
  <c r="S9" i="1"/>
  <c r="S12" i="1"/>
  <c r="S13" i="1"/>
  <c r="S8" i="1"/>
  <c r="M4" i="1"/>
  <c r="M7" i="1"/>
  <c r="M11" i="1"/>
  <c r="M9" i="1"/>
  <c r="M12" i="1"/>
  <c r="M13" i="1"/>
  <c r="I6" i="1"/>
  <c r="I72" i="1" s="1"/>
  <c r="I74" i="1" s="1"/>
  <c r="I75" i="1" s="1"/>
  <c r="H6" i="1"/>
  <c r="G6" i="1"/>
  <c r="O44" i="1"/>
  <c r="Q44" i="1"/>
  <c r="N15" i="1"/>
  <c r="R15" i="1"/>
  <c r="Q15" i="1"/>
  <c r="J15" i="1"/>
  <c r="K15" i="1"/>
  <c r="O22" i="1"/>
  <c r="R22" i="1"/>
  <c r="N20" i="1"/>
  <c r="R20" i="1"/>
  <c r="R33" i="1"/>
  <c r="O33" i="1"/>
  <c r="K33" i="1"/>
  <c r="F33" i="1" s="1"/>
  <c r="R24" i="1"/>
  <c r="O24" i="1"/>
  <c r="K24" i="1"/>
  <c r="F24" i="1" s="1"/>
  <c r="N17" i="1"/>
  <c r="M17" i="1" s="1"/>
  <c r="H17" i="1"/>
  <c r="H73" i="1" s="1"/>
  <c r="K17" i="1"/>
  <c r="O16" i="1"/>
  <c r="N16" i="1"/>
  <c r="R16" i="1"/>
  <c r="K16" i="1"/>
  <c r="G16" i="1"/>
  <c r="G73" i="1" s="1"/>
  <c r="O41" i="1"/>
  <c r="M41" i="1" s="1"/>
  <c r="K18" i="1"/>
  <c r="F18" i="1" s="1"/>
  <c r="O30" i="1"/>
  <c r="M30" i="1" s="1"/>
  <c r="R34" i="1"/>
  <c r="M34" i="1" s="1"/>
  <c r="O38" i="1"/>
  <c r="N38" i="1"/>
  <c r="K27" i="1"/>
  <c r="F27" i="1" s="1"/>
  <c r="N51" i="1"/>
  <c r="M51" i="1" s="1"/>
  <c r="N31" i="1"/>
  <c r="M31" i="1" s="1"/>
  <c r="Q54" i="1"/>
  <c r="M54" i="1" s="1"/>
  <c r="N32" i="1"/>
  <c r="M32" i="1" s="1"/>
  <c r="O36" i="1"/>
  <c r="R48" i="1"/>
  <c r="M48" i="1" s="1"/>
  <c r="L59" i="1"/>
  <c r="M59" i="1" s="1"/>
  <c r="F50" i="1"/>
  <c r="F62" i="1"/>
  <c r="F32" i="1"/>
  <c r="F54" i="1"/>
  <c r="F63" i="1"/>
  <c r="F31" i="1"/>
  <c r="F51" i="1"/>
  <c r="F40" i="1"/>
  <c r="F37" i="1"/>
  <c r="F55" i="1"/>
  <c r="F21" i="1"/>
  <c r="F29" i="1"/>
  <c r="F64" i="1"/>
  <c r="F43" i="1"/>
  <c r="F38" i="1"/>
  <c r="F52" i="1"/>
  <c r="F34" i="1"/>
  <c r="F30" i="1"/>
  <c r="F25" i="1"/>
  <c r="F26" i="1"/>
  <c r="F41" i="1"/>
  <c r="F39" i="1"/>
  <c r="F65" i="1"/>
  <c r="F56" i="1"/>
  <c r="F68" i="1"/>
  <c r="F66" i="1"/>
  <c r="F57" i="1"/>
  <c r="F53" i="1"/>
  <c r="F20" i="1"/>
  <c r="F22" i="1"/>
  <c r="F67" i="1"/>
  <c r="F44" i="1"/>
  <c r="M27" i="1"/>
  <c r="M29" i="1"/>
  <c r="M64" i="1"/>
  <c r="M43" i="1"/>
  <c r="M52" i="1"/>
  <c r="M25" i="1"/>
  <c r="M26" i="1"/>
  <c r="M18" i="1"/>
  <c r="M39" i="1"/>
  <c r="M65" i="1"/>
  <c r="M56" i="1"/>
  <c r="M68" i="1"/>
  <c r="M66" i="1"/>
  <c r="M57" i="1"/>
  <c r="M53" i="1"/>
  <c r="M67" i="1"/>
  <c r="R49" i="1"/>
  <c r="M49" i="1" s="1"/>
  <c r="L58" i="1"/>
  <c r="O19" i="1"/>
  <c r="N19" i="1"/>
  <c r="R19" i="1"/>
  <c r="K19" i="1"/>
  <c r="F19" i="1" s="1"/>
  <c r="Q35" i="1"/>
  <c r="M42" i="1"/>
  <c r="M46" i="1"/>
  <c r="M60" i="1"/>
  <c r="M23" i="1"/>
  <c r="M47" i="1"/>
  <c r="M61" i="1"/>
  <c r="M36" i="1"/>
  <c r="M50" i="1"/>
  <c r="M62" i="1"/>
  <c r="M63" i="1"/>
  <c r="M40" i="1"/>
  <c r="M37" i="1"/>
  <c r="M55" i="1"/>
  <c r="M21" i="1"/>
  <c r="M45" i="1"/>
  <c r="F45" i="1"/>
  <c r="F42" i="1"/>
  <c r="F58" i="1"/>
  <c r="F46" i="1"/>
  <c r="F60" i="1"/>
  <c r="F23" i="1"/>
  <c r="F49" i="1"/>
  <c r="F47" i="1"/>
  <c r="F61" i="1"/>
  <c r="F59" i="1"/>
  <c r="F48" i="1"/>
  <c r="F36" i="1"/>
  <c r="X28" i="1"/>
  <c r="X45" i="1"/>
  <c r="X42" i="1"/>
  <c r="X19" i="1"/>
  <c r="X46" i="1"/>
  <c r="X60" i="1"/>
  <c r="X23" i="1"/>
  <c r="X49" i="1"/>
  <c r="X47" i="1"/>
  <c r="X61" i="1"/>
  <c r="X48" i="1"/>
  <c r="X36" i="1"/>
  <c r="X50" i="1"/>
  <c r="X62" i="1"/>
  <c r="X32" i="1"/>
  <c r="X54" i="1"/>
  <c r="X63" i="1"/>
  <c r="X31" i="1"/>
  <c r="X51" i="1"/>
  <c r="X40" i="1"/>
  <c r="X37" i="1"/>
  <c r="X55" i="1"/>
  <c r="X21" i="1"/>
  <c r="X27" i="1"/>
  <c r="X29" i="1"/>
  <c r="X64" i="1"/>
  <c r="X43" i="1"/>
  <c r="X38" i="1"/>
  <c r="X52" i="1"/>
  <c r="X34" i="1"/>
  <c r="X30" i="1"/>
  <c r="X25" i="1"/>
  <c r="X26" i="1"/>
  <c r="X18" i="1"/>
  <c r="X41" i="1"/>
  <c r="X16" i="1"/>
  <c r="X17" i="1"/>
  <c r="X39" i="1"/>
  <c r="X24" i="1"/>
  <c r="X65" i="1"/>
  <c r="X56" i="1"/>
  <c r="X66" i="1"/>
  <c r="X33" i="1"/>
  <c r="X57" i="1"/>
  <c r="X53" i="1"/>
  <c r="X20" i="1"/>
  <c r="X22" i="1"/>
  <c r="X67" i="1"/>
  <c r="X15" i="1"/>
  <c r="X44" i="1"/>
  <c r="V42" i="1"/>
  <c r="V61" i="1"/>
  <c r="V48" i="1"/>
  <c r="V62" i="1"/>
  <c r="V32" i="1"/>
  <c r="V31" i="1"/>
  <c r="V51" i="1"/>
  <c r="V40" i="1"/>
  <c r="V29" i="1"/>
  <c r="V38" i="1"/>
  <c r="V65" i="1"/>
  <c r="T28" i="1"/>
  <c r="T45" i="1"/>
  <c r="T42" i="1"/>
  <c r="T19" i="1"/>
  <c r="T58" i="1"/>
  <c r="T46" i="1"/>
  <c r="T60" i="1"/>
  <c r="T23" i="1"/>
  <c r="T49" i="1"/>
  <c r="T47" i="1"/>
  <c r="T61" i="1"/>
  <c r="T59" i="1"/>
  <c r="T48" i="1"/>
  <c r="T36" i="1"/>
  <c r="T50" i="1"/>
  <c r="T62" i="1"/>
  <c r="T32" i="1"/>
  <c r="T54" i="1"/>
  <c r="T63" i="1"/>
  <c r="T31" i="1"/>
  <c r="T51" i="1"/>
  <c r="T40" i="1"/>
  <c r="T37" i="1"/>
  <c r="T55" i="1"/>
  <c r="T21" i="1"/>
  <c r="T27" i="1"/>
  <c r="T29" i="1"/>
  <c r="T64" i="1"/>
  <c r="T43" i="1"/>
  <c r="T38" i="1"/>
  <c r="T52" i="1"/>
  <c r="T34" i="1"/>
  <c r="T30" i="1"/>
  <c r="T25" i="1"/>
  <c r="T26" i="1"/>
  <c r="T18" i="1"/>
  <c r="T41" i="1"/>
  <c r="T16" i="1"/>
  <c r="T17" i="1"/>
  <c r="T39" i="1"/>
  <c r="T24" i="1"/>
  <c r="T65" i="1"/>
  <c r="T56" i="1"/>
  <c r="T68" i="1"/>
  <c r="T66" i="1"/>
  <c r="T33" i="1"/>
  <c r="T57" i="1"/>
  <c r="T53" i="1"/>
  <c r="T20" i="1"/>
  <c r="T22" i="1"/>
  <c r="T67" i="1"/>
  <c r="T15" i="1"/>
  <c r="T44" i="1"/>
  <c r="S42" i="1"/>
  <c r="S61" i="1"/>
  <c r="S48" i="1"/>
  <c r="S62" i="1"/>
  <c r="S32" i="1"/>
  <c r="S31" i="1"/>
  <c r="S51" i="1"/>
  <c r="S40" i="1"/>
  <c r="S29" i="1"/>
  <c r="S38" i="1"/>
  <c r="S65" i="1"/>
  <c r="R28" i="1"/>
  <c r="Q28" i="1"/>
  <c r="F28" i="1"/>
  <c r="X35" i="1"/>
  <c r="T35" i="1"/>
  <c r="V35" i="1"/>
  <c r="S35" i="1"/>
  <c r="O73" i="1" l="1"/>
  <c r="M10" i="1"/>
  <c r="M44" i="1"/>
  <c r="R73" i="1"/>
  <c r="K73" i="1"/>
  <c r="N73" i="1"/>
  <c r="M33" i="1"/>
  <c r="M58" i="1"/>
  <c r="L73" i="1"/>
  <c r="M16" i="1"/>
  <c r="Q73" i="1"/>
  <c r="Q74" i="1" s="1"/>
  <c r="J73" i="1"/>
  <c r="J74" i="1" s="1"/>
  <c r="J75" i="1" s="1"/>
  <c r="K70" i="1"/>
  <c r="P70" i="1"/>
  <c r="I70" i="1"/>
  <c r="M38" i="1"/>
  <c r="F17" i="1"/>
  <c r="M20" i="1"/>
  <c r="M22" i="1"/>
  <c r="F6" i="1"/>
  <c r="R72" i="1"/>
  <c r="R70" i="1" s="1"/>
  <c r="F8" i="1"/>
  <c r="M8" i="1"/>
  <c r="H72" i="1"/>
  <c r="O72" i="1"/>
  <c r="M28" i="1"/>
  <c r="X58" i="1"/>
  <c r="L74" i="1"/>
  <c r="P75" i="1" s="1"/>
  <c r="F16" i="1"/>
  <c r="M24" i="1"/>
  <c r="M15" i="1"/>
  <c r="G72" i="1"/>
  <c r="N72" i="1"/>
  <c r="K74" i="1"/>
  <c r="K75" i="1" s="1"/>
  <c r="M35" i="1"/>
  <c r="M6" i="1"/>
  <c r="M71" i="1"/>
  <c r="F10" i="1"/>
  <c r="F15" i="1"/>
  <c r="X59" i="1"/>
  <c r="M19" i="1"/>
  <c r="R74" i="1" l="1"/>
  <c r="Q75" i="1"/>
  <c r="M72" i="1"/>
  <c r="M70" i="1" s="1"/>
  <c r="M73" i="1"/>
  <c r="F72" i="1"/>
  <c r="F70" i="1" s="1"/>
  <c r="N74" i="1"/>
  <c r="N75" i="1" s="1"/>
  <c r="N70" i="1"/>
  <c r="O74" i="1"/>
  <c r="O70" i="1"/>
  <c r="G74" i="1"/>
  <c r="G75" i="1" s="1"/>
  <c r="G70" i="1"/>
  <c r="H74" i="1"/>
  <c r="H75" i="1" s="1"/>
  <c r="H70" i="1"/>
  <c r="F73" i="1"/>
  <c r="R75" i="1"/>
  <c r="O75" i="1"/>
  <c r="D42" i="1"/>
  <c r="D61" i="1"/>
  <c r="D48" i="1"/>
  <c r="D62" i="1"/>
  <c r="D32" i="1"/>
  <c r="D31" i="1"/>
  <c r="D51" i="1"/>
  <c r="D40" i="1"/>
  <c r="D29" i="1"/>
  <c r="D38" i="1"/>
  <c r="D65" i="1"/>
  <c r="F74" i="1" l="1"/>
  <c r="F75" i="1" s="1"/>
  <c r="M74" i="1"/>
  <c r="M75" i="1" s="1"/>
  <c r="W48" i="1"/>
  <c r="U48" i="1"/>
  <c r="B56" i="1"/>
  <c r="B50" i="1"/>
  <c r="B55" i="1"/>
  <c r="B26" i="1"/>
  <c r="B17" i="1"/>
  <c r="B19" i="1"/>
  <c r="B68" i="1"/>
  <c r="B64" i="1"/>
  <c r="B27" i="1"/>
  <c r="B59" i="1"/>
  <c r="B36" i="1"/>
  <c r="B67" i="1"/>
  <c r="B57" i="1"/>
  <c r="B58" i="1"/>
  <c r="B54" i="1"/>
  <c r="B39" i="1"/>
  <c r="B16" i="1"/>
  <c r="B37" i="1"/>
  <c r="B28" i="1"/>
  <c r="B66" i="1"/>
  <c r="B23" i="1"/>
  <c r="B43" i="1"/>
  <c r="B47" i="1"/>
  <c r="B53" i="1"/>
  <c r="B25" i="1"/>
  <c r="B52" i="1"/>
  <c r="B60" i="1"/>
  <c r="B46" i="1"/>
  <c r="B49" i="1"/>
  <c r="B21" i="1"/>
  <c r="B41" i="1"/>
  <c r="B45" i="1"/>
  <c r="B22" i="1"/>
  <c r="B44" i="1"/>
  <c r="B34" i="1"/>
  <c r="B30" i="1"/>
  <c r="B63" i="1"/>
  <c r="B33" i="1"/>
  <c r="B24" i="1"/>
  <c r="B20" i="1"/>
  <c r="B18" i="1"/>
  <c r="B15" i="1"/>
  <c r="D15" i="1" l="1"/>
  <c r="W15" i="1" s="1"/>
  <c r="V15" i="1"/>
  <c r="S15" i="1"/>
  <c r="D33" i="1"/>
  <c r="U33" i="1" s="1"/>
  <c r="V33" i="1"/>
  <c r="S33" i="1"/>
  <c r="D44" i="1"/>
  <c r="W44" i="1" s="1"/>
  <c r="V44" i="1"/>
  <c r="S44" i="1"/>
  <c r="D21" i="1"/>
  <c r="U21" i="1" s="1"/>
  <c r="V21" i="1"/>
  <c r="S21" i="1"/>
  <c r="D52" i="1"/>
  <c r="U52" i="1" s="1"/>
  <c r="V52" i="1"/>
  <c r="S52" i="1"/>
  <c r="D53" i="1"/>
  <c r="U53" i="1" s="1"/>
  <c r="V53" i="1"/>
  <c r="S53" i="1"/>
  <c r="D43" i="1"/>
  <c r="U43" i="1" s="1"/>
  <c r="V43" i="1"/>
  <c r="S43" i="1"/>
  <c r="D66" i="1"/>
  <c r="V66" i="1"/>
  <c r="S66" i="1"/>
  <c r="D37" i="1"/>
  <c r="W37" i="1" s="1"/>
  <c r="V37" i="1"/>
  <c r="S37" i="1"/>
  <c r="D39" i="1"/>
  <c r="U39" i="1" s="1"/>
  <c r="V39" i="1"/>
  <c r="S39" i="1"/>
  <c r="D58" i="1"/>
  <c r="U58" i="1" s="1"/>
  <c r="V58" i="1"/>
  <c r="S58" i="1"/>
  <c r="D67" i="1"/>
  <c r="U67" i="1" s="1"/>
  <c r="V67" i="1"/>
  <c r="S67" i="1"/>
  <c r="D59" i="1"/>
  <c r="U59" i="1" s="1"/>
  <c r="V59" i="1"/>
  <c r="S59" i="1"/>
  <c r="D64" i="1"/>
  <c r="U64" i="1" s="1"/>
  <c r="V64" i="1"/>
  <c r="S64" i="1"/>
  <c r="D19" i="1"/>
  <c r="U19" i="1" s="1"/>
  <c r="V19" i="1"/>
  <c r="S19" i="1"/>
  <c r="D26" i="1"/>
  <c r="U26" i="1" s="1"/>
  <c r="V26" i="1"/>
  <c r="S26" i="1"/>
  <c r="D50" i="1"/>
  <c r="W50" i="1" s="1"/>
  <c r="V50" i="1"/>
  <c r="S50" i="1"/>
  <c r="D20" i="1"/>
  <c r="U20" i="1" s="1"/>
  <c r="V20" i="1"/>
  <c r="S20" i="1"/>
  <c r="D30" i="1"/>
  <c r="V30" i="1"/>
  <c r="S30" i="1"/>
  <c r="D45" i="1"/>
  <c r="U45" i="1" s="1"/>
  <c r="V45" i="1"/>
  <c r="S45" i="1"/>
  <c r="D46" i="1"/>
  <c r="U46" i="1" s="1"/>
  <c r="V46" i="1"/>
  <c r="S46" i="1"/>
  <c r="D18" i="1"/>
  <c r="U18" i="1" s="1"/>
  <c r="V18" i="1"/>
  <c r="S18" i="1"/>
  <c r="D24" i="1"/>
  <c r="U24" i="1" s="1"/>
  <c r="V24" i="1"/>
  <c r="S24" i="1"/>
  <c r="D63" i="1"/>
  <c r="U63" i="1" s="1"/>
  <c r="V63" i="1"/>
  <c r="S63" i="1"/>
  <c r="D34" i="1"/>
  <c r="U34" i="1" s="1"/>
  <c r="V34" i="1"/>
  <c r="S34" i="1"/>
  <c r="D22" i="1"/>
  <c r="U22" i="1" s="1"/>
  <c r="V22" i="1"/>
  <c r="S22" i="1"/>
  <c r="D41" i="1"/>
  <c r="W41" i="1" s="1"/>
  <c r="V41" i="1"/>
  <c r="S41" i="1"/>
  <c r="D49" i="1"/>
  <c r="W35" i="1" s="1"/>
  <c r="V49" i="1"/>
  <c r="S49" i="1"/>
  <c r="D60" i="1"/>
  <c r="U60" i="1" s="1"/>
  <c r="V60" i="1"/>
  <c r="S60" i="1"/>
  <c r="D25" i="1"/>
  <c r="U25" i="1" s="1"/>
  <c r="V25" i="1"/>
  <c r="S25" i="1"/>
  <c r="D47" i="1"/>
  <c r="U47" i="1" s="1"/>
  <c r="V47" i="1"/>
  <c r="S47" i="1"/>
  <c r="D23" i="1"/>
  <c r="U23" i="1" s="1"/>
  <c r="V23" i="1"/>
  <c r="S23" i="1"/>
  <c r="D28" i="1"/>
  <c r="W28" i="1" s="1"/>
  <c r="V28" i="1"/>
  <c r="S28" i="1"/>
  <c r="D16" i="1"/>
  <c r="U16" i="1" s="1"/>
  <c r="V16" i="1"/>
  <c r="S16" i="1"/>
  <c r="D54" i="1"/>
  <c r="U54" i="1" s="1"/>
  <c r="V54" i="1"/>
  <c r="S54" i="1"/>
  <c r="D57" i="1"/>
  <c r="U57" i="1" s="1"/>
  <c r="V57" i="1"/>
  <c r="S57" i="1"/>
  <c r="D36" i="1"/>
  <c r="U36" i="1" s="1"/>
  <c r="V36" i="1"/>
  <c r="S36" i="1"/>
  <c r="D27" i="1"/>
  <c r="U27" i="1" s="1"/>
  <c r="V27" i="1"/>
  <c r="S27" i="1"/>
  <c r="D68" i="1"/>
  <c r="U68" i="1" s="1"/>
  <c r="S68" i="1"/>
  <c r="V68" i="1"/>
  <c r="D17" i="1"/>
  <c r="U17" i="1" s="1"/>
  <c r="V17" i="1"/>
  <c r="S17" i="1"/>
  <c r="D55" i="1"/>
  <c r="U55" i="1" s="1"/>
  <c r="V55" i="1"/>
  <c r="S55" i="1"/>
  <c r="D56" i="1"/>
  <c r="U56" i="1" s="1"/>
  <c r="V56" i="1"/>
  <c r="S56" i="1"/>
  <c r="W23" i="1"/>
  <c r="W19" i="1"/>
  <c r="W40" i="1"/>
  <c r="U40" i="1"/>
  <c r="W61" i="1"/>
  <c r="U61" i="1"/>
  <c r="W43" i="1"/>
  <c r="W63" i="1"/>
  <c r="U37" i="1"/>
  <c r="W51" i="1"/>
  <c r="U51" i="1"/>
  <c r="W67" i="1"/>
  <c r="W22" i="1"/>
  <c r="W32" i="1"/>
  <c r="U32" i="1"/>
  <c r="W33" i="1"/>
  <c r="W42" i="1"/>
  <c r="U42" i="1"/>
  <c r="W38" i="1"/>
  <c r="U38" i="1"/>
  <c r="W39" i="1"/>
  <c r="W29" i="1"/>
  <c r="U29" i="1"/>
  <c r="W26" i="1"/>
  <c r="W31" i="1"/>
  <c r="U31" i="1"/>
  <c r="W21" i="1"/>
  <c r="W18" i="1"/>
  <c r="W56" i="1"/>
  <c r="W62" i="1"/>
  <c r="U62" i="1"/>
  <c r="W65" i="1"/>
  <c r="U65" i="1"/>
  <c r="U35" i="1"/>
  <c r="U28" i="1" l="1"/>
  <c r="W60" i="1"/>
  <c r="U41" i="1"/>
  <c r="W52" i="1"/>
  <c r="W47" i="1"/>
  <c r="W20" i="1"/>
  <c r="W27" i="1"/>
  <c r="W53" i="1"/>
  <c r="W16" i="1"/>
  <c r="W25" i="1"/>
  <c r="W49" i="1"/>
  <c r="W57" i="1"/>
  <c r="W45" i="1"/>
  <c r="W54" i="1"/>
  <c r="U15" i="1"/>
  <c r="U50" i="1"/>
  <c r="W59" i="1"/>
  <c r="U44" i="1"/>
  <c r="W24" i="1"/>
  <c r="W46" i="1"/>
  <c r="W58" i="1"/>
  <c r="W34" i="1"/>
  <c r="W55" i="1"/>
  <c r="W68" i="1"/>
  <c r="W36" i="1"/>
  <c r="U66" i="1"/>
  <c r="W66" i="1"/>
  <c r="U49" i="1"/>
  <c r="W17" i="1"/>
  <c r="W64" i="1"/>
  <c r="U30" i="1"/>
  <c r="W30" i="1"/>
</calcChain>
</file>

<file path=xl/comments1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priemer za roky 2009-2012</t>
        </r>
      </text>
    </comment>
    <comment ref="C3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priemerný nápad za roky 2009-2012 (len hlavné agendy)
</t>
        </r>
      </text>
    </comment>
    <comment ref="D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len hlavné agendy</t>
        </r>
      </text>
    </comment>
    <comment ref="F3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Občiansko-právna</t>
        </r>
      </text>
    </comment>
    <comment ref="G3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Trestná</t>
        </r>
      </text>
    </comment>
    <comment ref="H3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Obchodno-právna</t>
        </r>
      </text>
    </comment>
    <comment ref="I3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Správna</t>
        </r>
      </text>
    </comment>
    <comment ref="J3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Dedičská</t>
        </r>
      </text>
    </comment>
    <comment ref="K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najmä veci Poručnícke a Exkučné (výkony rozhodnutia)</t>
        </r>
      </text>
    </comment>
    <comment ref="U3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Počet rozhodnutí ÚS na priemerný nápad na sudcu</t>
        </r>
      </text>
    </comment>
    <comment ref="Y3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len za Rozhodnutia, kde bolo porušené (aj) Čl. 48, ods.2</t>
        </r>
      </text>
    </comment>
    <comment ref="B4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súčasný počet sudcov NSSR</t>
        </r>
      </text>
    </comment>
    <comment ref="C4" authorId="0" shapeId="0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data sa nám nepodarilo získať</t>
        </r>
      </text>
    </comment>
  </commentList>
</comments>
</file>

<file path=xl/sharedStrings.xml><?xml version="1.0" encoding="utf-8"?>
<sst xmlns="http://schemas.openxmlformats.org/spreadsheetml/2006/main" count="101" uniqueCount="93">
  <si>
    <t>Súd</t>
  </si>
  <si>
    <t>Počet rozhodnutí ÚS</t>
  </si>
  <si>
    <t>SPOLU</t>
  </si>
  <si>
    <t>Ø počet sudcov</t>
  </si>
  <si>
    <t>Ø nápad</t>
  </si>
  <si>
    <t>Suma za rozhodnutia ÚS</t>
  </si>
  <si>
    <t>rozhodnutí na sudcu</t>
  </si>
  <si>
    <t>rozhodnutí na nápad</t>
  </si>
  <si>
    <t>Najvyšší súd SR</t>
  </si>
  <si>
    <t>Krajský súd Banská Bystrica</t>
  </si>
  <si>
    <t>Krajský súd Bratislava</t>
  </si>
  <si>
    <t>Krajský súd Prešov</t>
  </si>
  <si>
    <t>Krajský súd Trenčín</t>
  </si>
  <si>
    <t>Krajský súd Žilina</t>
  </si>
  <si>
    <t>Krajský súd Nitra</t>
  </si>
  <si>
    <t>Krajský súd Trnava</t>
  </si>
  <si>
    <t>Krajský súd Košice</t>
  </si>
  <si>
    <t>AGENDA</t>
  </si>
  <si>
    <t>C</t>
  </si>
  <si>
    <t>T</t>
  </si>
  <si>
    <t>B</t>
  </si>
  <si>
    <t>S</t>
  </si>
  <si>
    <t>D</t>
  </si>
  <si>
    <t>Z</t>
  </si>
  <si>
    <t>Okresný súd Michalovce</t>
  </si>
  <si>
    <t>Okresný súd Martin</t>
  </si>
  <si>
    <t>Okresný súd Senica</t>
  </si>
  <si>
    <t>Okresný súd Nové Zámky</t>
  </si>
  <si>
    <t>Okresný súd Košice I</t>
  </si>
  <si>
    <t>Okresný súd Revúca</t>
  </si>
  <si>
    <t>Okresný súd Partizánske</t>
  </si>
  <si>
    <t>Okresný súd Nové Mesto n/V.</t>
  </si>
  <si>
    <t>Okresný súd Čadca</t>
  </si>
  <si>
    <t>Okresný súd Bánovce n/B.</t>
  </si>
  <si>
    <t>Okresný súd Levice</t>
  </si>
  <si>
    <t>Okresný súd Ružomberok</t>
  </si>
  <si>
    <t>Okresný súd Žiar n/Hr.</t>
  </si>
  <si>
    <t>Okresný súd Svidník</t>
  </si>
  <si>
    <t>Okresný súd Zvolen</t>
  </si>
  <si>
    <t>Okresný súd Spišská Nová Ves</t>
  </si>
  <si>
    <t>Okresný súd Brezno</t>
  </si>
  <si>
    <t>Okresný súd Poprad</t>
  </si>
  <si>
    <t>Okresný súd Lučenec</t>
  </si>
  <si>
    <t>Okresný súd Malacky</t>
  </si>
  <si>
    <t>Okresný súd Dolný Kubín</t>
  </si>
  <si>
    <t>Okresný súd Topoľčany</t>
  </si>
  <si>
    <t>Okresný súd Humenné</t>
  </si>
  <si>
    <t>Okresný súd Námestovo</t>
  </si>
  <si>
    <t>Okresný súd Rožňava</t>
  </si>
  <si>
    <t>Okresný súd Trnava</t>
  </si>
  <si>
    <t>Okresný súd Prešov</t>
  </si>
  <si>
    <t>Okresný súd Bardejov</t>
  </si>
  <si>
    <t>Okresný súd Stará Ľubovňa</t>
  </si>
  <si>
    <t>Okresný súd Nitra</t>
  </si>
  <si>
    <t>Okresný súd Kežmarok</t>
  </si>
  <si>
    <t>Okresný súd Prievidza</t>
  </si>
  <si>
    <t>Okresný súd Dunajská Streda</t>
  </si>
  <si>
    <t>Okresný súd Pezinok</t>
  </si>
  <si>
    <t>Okresný súd Trenčín</t>
  </si>
  <si>
    <t>Okresný súd Košice okolie</t>
  </si>
  <si>
    <t>Okresný súd Bratislava II</t>
  </si>
  <si>
    <t>Okresný súd Skalica</t>
  </si>
  <si>
    <t>Okresný súd Žilina</t>
  </si>
  <si>
    <t>Okresný súd Košice II</t>
  </si>
  <si>
    <t>Okresný súd Banská Bystrica</t>
  </si>
  <si>
    <t>Okresný súd Bratislava IV</t>
  </si>
  <si>
    <t>Okresný súd Považská Bystrica</t>
  </si>
  <si>
    <t>Okresný súd Trebišov</t>
  </si>
  <si>
    <t>Okresný súd Vranov n/T.</t>
  </si>
  <si>
    <t>Okresný súd Liptovský Mikuláš</t>
  </si>
  <si>
    <t>Okresný súd Bratislava V</t>
  </si>
  <si>
    <t>Okresný súd Rimavská Sobota</t>
  </si>
  <si>
    <t>Okresný súd Komárno</t>
  </si>
  <si>
    <t>Okresný súd Bratislava III</t>
  </si>
  <si>
    <t>Okresný súd Piešťany</t>
  </si>
  <si>
    <t>Okresný súd Veľký Krtíš</t>
  </si>
  <si>
    <t>Okresný súd Bratislava I</t>
  </si>
  <si>
    <t>Okresný súd Galanta</t>
  </si>
  <si>
    <t>Ø nápad/sudca</t>
  </si>
  <si>
    <t>Ø za rozhodnutie</t>
  </si>
  <si>
    <t>suma na sudcu</t>
  </si>
  <si>
    <t>štandardná deviácia na pokutu</t>
  </si>
  <si>
    <t>rozhodnutí na sudconápad</t>
  </si>
  <si>
    <t>suma na sudconápad</t>
  </si>
  <si>
    <t>rozhodnutí podľa 46(1)</t>
  </si>
  <si>
    <t>Najvyšší súd</t>
  </si>
  <si>
    <t>Krajské súdy</t>
  </si>
  <si>
    <t>Okresné súdy</t>
  </si>
  <si>
    <t>%</t>
  </si>
  <si>
    <t>Odvolacie súdy - spolu</t>
  </si>
  <si>
    <t>rozhodnutí na celkový nápad (%)</t>
  </si>
  <si>
    <t>celkový nápad</t>
  </si>
  <si>
    <t>CELKOM - Čl. 46, ods.1 a Čl. 48, ods.2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</si>
</sst>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center" vertical="center"/>
    </xf>
    <xf numFmtId="2" fontId="0" fillId="0" borderId="0" xfId="0" applyNumberFormat="1"/>
    <xf numFmtId="0" fontId="0" fillId="6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8" fillId="4" borderId="0" xfId="0" applyFont="1" applyFill="1"/>
    <xf numFmtId="2" fontId="0" fillId="6" borderId="0" xfId="0" applyNumberFormat="1" applyFill="1"/>
    <xf numFmtId="0" fontId="0" fillId="7" borderId="0" xfId="0" applyFill="1"/>
    <xf numFmtId="0" fontId="0" fillId="0" borderId="0" xfId="0" applyAlignment="1">
      <alignment horizontal="center"/>
    </xf>
    <xf numFmtId="0" fontId="0" fillId="8" borderId="0" xfId="0" applyFill="1"/>
    <xf numFmtId="0" fontId="3" fillId="9" borderId="0" xfId="0" applyFont="1" applyFill="1"/>
    <xf numFmtId="0" fontId="0" fillId="9" borderId="0" xfId="0" applyFill="1"/>
    <xf numFmtId="0" fontId="3" fillId="9" borderId="0" xfId="0" applyFont="1" applyFill="1" applyAlignment="1">
      <alignment horizontal="center" vertical="center"/>
    </xf>
    <xf numFmtId="2" fontId="0" fillId="8" borderId="1" xfId="0" applyNumberFormat="1" applyFill="1" applyBorder="1"/>
    <xf numFmtId="0" fontId="0" fillId="0" borderId="1" xfId="0" applyBorder="1"/>
    <xf numFmtId="0" fontId="0" fillId="7" borderId="1" xfId="0" applyFill="1" applyBorder="1"/>
    <xf numFmtId="0" fontId="3" fillId="10" borderId="0" xfId="0" applyFont="1" applyFill="1"/>
    <xf numFmtId="0" fontId="0" fillId="10" borderId="0" xfId="0" applyFill="1"/>
    <xf numFmtId="0" fontId="2" fillId="10" borderId="0" xfId="0" applyFont="1" applyFill="1"/>
    <xf numFmtId="0" fontId="0" fillId="6" borderId="0" xfId="0" applyFill="1" applyBorder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75</xdr:row>
      <xdr:rowOff>68036</xdr:rowOff>
    </xdr:from>
    <xdr:to>
      <xdr:col>7</xdr:col>
      <xdr:colOff>0</xdr:colOff>
      <xdr:row>87</xdr:row>
      <xdr:rowOff>75549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14369143"/>
          <a:ext cx="6558642" cy="2293513"/>
        </a:xfrm>
        <a:prstGeom prst="rect">
          <a:avLst/>
        </a:prstGeom>
        <a:noFill/>
        <a:effectLst>
          <a:softEdge rad="63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5"/>
  <sheetViews>
    <sheetView tabSelected="1" zoomScale="70" zoomScaleNormal="70" workbookViewId="0">
      <selection activeCell="Y3" sqref="Y3"/>
    </sheetView>
  </sheetViews>
  <sheetFormatPr defaultRowHeight="15" x14ac:dyDescent="0.25"/>
  <cols>
    <col min="1" max="1" width="31.42578125" bestFit="1" customWidth="1"/>
    <col min="2" max="2" width="12.5703125" bestFit="1" customWidth="1"/>
    <col min="3" max="3" width="8.7109375" bestFit="1" customWidth="1"/>
    <col min="4" max="4" width="12.85546875" bestFit="1" customWidth="1"/>
    <col min="5" max="5" width="16.42578125" bestFit="1" customWidth="1"/>
    <col min="6" max="6" width="10.28515625" bestFit="1" customWidth="1"/>
    <col min="7" max="7" width="10.28515625" customWidth="1"/>
    <col min="8" max="8" width="10.5703125" bestFit="1" customWidth="1"/>
    <col min="9" max="9" width="10.28515625" bestFit="1" customWidth="1"/>
    <col min="10" max="10" width="10.7109375" bestFit="1" customWidth="1"/>
    <col min="11" max="11" width="10.28515625" bestFit="1" customWidth="1"/>
    <col min="12" max="12" width="20" bestFit="1" customWidth="1"/>
    <col min="13" max="13" width="13.85546875" bestFit="1" customWidth="1"/>
    <col min="14" max="15" width="12.42578125" bestFit="1" customWidth="1"/>
    <col min="16" max="16" width="11.140625" bestFit="1" customWidth="1"/>
    <col min="17" max="18" width="12.42578125" bestFit="1" customWidth="1"/>
    <col min="19" max="19" width="16.85546875" bestFit="1" customWidth="1"/>
    <col min="20" max="20" width="17.42578125" bestFit="1" customWidth="1"/>
    <col min="21" max="21" width="22.140625" bestFit="1" customWidth="1"/>
    <col min="22" max="22" width="17.42578125" customWidth="1"/>
    <col min="23" max="23" width="18" bestFit="1" customWidth="1"/>
    <col min="24" max="24" width="16.28515625" bestFit="1" customWidth="1"/>
    <col min="25" max="25" width="25.85546875" bestFit="1" customWidth="1"/>
    <col min="26" max="26" width="18.5703125" bestFit="1" customWidth="1"/>
    <col min="27" max="27" width="23.5703125" bestFit="1" customWidth="1"/>
    <col min="28" max="28" width="12" bestFit="1" customWidth="1"/>
  </cols>
  <sheetData>
    <row r="1" spans="1:28" ht="15" customHeight="1" x14ac:dyDescent="0.25">
      <c r="A1" s="26" t="s">
        <v>92</v>
      </c>
      <c r="B1" s="26"/>
      <c r="C1" s="26"/>
      <c r="D1" s="26"/>
      <c r="E1" s="26"/>
      <c r="F1" s="25" t="s">
        <v>17</v>
      </c>
      <c r="G1" s="25"/>
      <c r="H1" s="25"/>
      <c r="I1" s="25"/>
      <c r="J1" s="25"/>
      <c r="K1" s="25"/>
      <c r="L1" s="14"/>
      <c r="M1" s="25" t="s">
        <v>17</v>
      </c>
      <c r="N1" s="25"/>
      <c r="O1" s="25"/>
      <c r="P1" s="25"/>
      <c r="Q1" s="25"/>
      <c r="R1" s="25"/>
    </row>
    <row r="2" spans="1:28" ht="15" customHeight="1" x14ac:dyDescent="0.25">
      <c r="A2" s="26"/>
      <c r="B2" s="26"/>
      <c r="C2" s="26"/>
      <c r="D2" s="26"/>
      <c r="E2" s="26"/>
      <c r="F2" s="25"/>
      <c r="G2" s="25"/>
      <c r="H2" s="25"/>
      <c r="I2" s="25"/>
      <c r="J2" s="25"/>
      <c r="K2" s="25"/>
      <c r="L2" s="14"/>
      <c r="M2" s="25"/>
      <c r="N2" s="25"/>
      <c r="O2" s="25"/>
      <c r="P2" s="25"/>
      <c r="Q2" s="25"/>
      <c r="R2" s="25"/>
    </row>
    <row r="3" spans="1:28" x14ac:dyDescent="0.25">
      <c r="A3" s="1" t="s">
        <v>0</v>
      </c>
      <c r="B3" s="2" t="s">
        <v>3</v>
      </c>
      <c r="C3" s="2" t="s">
        <v>4</v>
      </c>
      <c r="D3" s="3" t="s">
        <v>78</v>
      </c>
      <c r="E3" s="15" t="s">
        <v>1</v>
      </c>
      <c r="F3" s="17" t="s">
        <v>18</v>
      </c>
      <c r="G3" s="17" t="s">
        <v>19</v>
      </c>
      <c r="H3" s="17" t="s">
        <v>20</v>
      </c>
      <c r="I3" s="17" t="s">
        <v>21</v>
      </c>
      <c r="J3" s="17" t="s">
        <v>22</v>
      </c>
      <c r="K3" s="17" t="s">
        <v>23</v>
      </c>
      <c r="L3" s="4" t="s">
        <v>5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21" t="s">
        <v>6</v>
      </c>
      <c r="T3" s="21" t="s">
        <v>7</v>
      </c>
      <c r="U3" s="23" t="s">
        <v>82</v>
      </c>
      <c r="V3" s="21" t="s">
        <v>80</v>
      </c>
      <c r="W3" s="21" t="s">
        <v>83</v>
      </c>
      <c r="X3" s="23" t="s">
        <v>79</v>
      </c>
      <c r="Y3" s="21" t="s">
        <v>81</v>
      </c>
      <c r="Z3" s="21" t="s">
        <v>84</v>
      </c>
      <c r="AA3" s="21" t="s">
        <v>90</v>
      </c>
      <c r="AB3" s="21" t="s">
        <v>91</v>
      </c>
    </row>
    <row r="4" spans="1:28" x14ac:dyDescent="0.25">
      <c r="A4" t="s">
        <v>8</v>
      </c>
      <c r="B4">
        <v>90</v>
      </c>
      <c r="D4" s="18">
        <f>C4/B4</f>
        <v>0</v>
      </c>
      <c r="E4" s="16">
        <v>137</v>
      </c>
      <c r="F4">
        <f t="shared" ref="F4" si="0">E4-SUM(G4:K4)</f>
        <v>34</v>
      </c>
      <c r="G4">
        <f>1+5</f>
        <v>6</v>
      </c>
      <c r="H4">
        <f>2+6+39</f>
        <v>47</v>
      </c>
      <c r="I4">
        <f>2+2+43</f>
        <v>47</v>
      </c>
      <c r="J4">
        <v>0</v>
      </c>
      <c r="K4">
        <f>1+2</f>
        <v>3</v>
      </c>
      <c r="L4" s="8">
        <v>63522.43</v>
      </c>
      <c r="M4">
        <f t="shared" ref="M4" si="1">L4-SUM(N4:R4)</f>
        <v>14824.210000000006</v>
      </c>
      <c r="N4">
        <f>248.7+1770.6</f>
        <v>2019.3</v>
      </c>
      <c r="O4">
        <f>9003.92+412.19+289.74+12610.21</f>
        <v>22316.059999999998</v>
      </c>
      <c r="P4">
        <f>19325.98+392.73+17.74+254.32+373.14</f>
        <v>20363.91</v>
      </c>
      <c r="Q4">
        <v>0</v>
      </c>
      <c r="R4">
        <f>3392.33+303.31+303.31</f>
        <v>3998.95</v>
      </c>
      <c r="S4" s="22">
        <f>E4/B4</f>
        <v>1.5222222222222221</v>
      </c>
      <c r="T4" t="e">
        <f>E4/C4</f>
        <v>#DIV/0!</v>
      </c>
      <c r="U4" t="e">
        <f>E4/D4</f>
        <v>#DIV/0!</v>
      </c>
      <c r="V4">
        <f>L4/B4</f>
        <v>705.80477777777776</v>
      </c>
      <c r="W4" t="e">
        <f>L4/D4</f>
        <v>#DIV/0!</v>
      </c>
      <c r="X4" s="6">
        <f>L4/E4</f>
        <v>463.66737226277371</v>
      </c>
      <c r="Y4">
        <v>1137.3399999999999</v>
      </c>
      <c r="Z4">
        <v>120</v>
      </c>
    </row>
    <row r="5" spans="1:28" s="7" customFormat="1" x14ac:dyDescent="0.25">
      <c r="X5" s="11"/>
    </row>
    <row r="6" spans="1:28" x14ac:dyDescent="0.25">
      <c r="A6" t="s">
        <v>10</v>
      </c>
      <c r="B6">
        <v>77.5</v>
      </c>
      <c r="C6">
        <v>18128</v>
      </c>
      <c r="D6" s="18">
        <f t="shared" ref="D6:D13" si="2">C6/B6</f>
        <v>233.90967741935484</v>
      </c>
      <c r="E6" s="16">
        <v>90</v>
      </c>
      <c r="F6">
        <f t="shared" ref="F6:F13" si="3">E6-SUM(G6:K6)</f>
        <v>59</v>
      </c>
      <c r="G6">
        <f>1+1+1</f>
        <v>3</v>
      </c>
      <c r="H6">
        <f>4+14</f>
        <v>18</v>
      </c>
      <c r="I6">
        <f>7+1</f>
        <v>8</v>
      </c>
      <c r="J6">
        <v>0</v>
      </c>
      <c r="K6">
        <v>2</v>
      </c>
      <c r="L6" s="8">
        <v>150205.70000000001</v>
      </c>
      <c r="M6">
        <f t="shared" ref="M6:M13" si="4">L6-SUM(N6:R6)</f>
        <v>82779.85000000002</v>
      </c>
      <c r="N6">
        <f>317.28+2792.38+396.61</f>
        <v>3506.27</v>
      </c>
      <c r="O6">
        <f>51624.28+1076.13</f>
        <v>52700.409999999996</v>
      </c>
      <c r="P6">
        <f>1912.11+4444.73</f>
        <v>6356.8399999999992</v>
      </c>
      <c r="Q6">
        <v>0</v>
      </c>
      <c r="R6">
        <f>1386.4+3475.93</f>
        <v>4862.33</v>
      </c>
      <c r="S6" s="22">
        <f t="shared" ref="S6:S13" si="5">E6/B6</f>
        <v>1.1612903225806452</v>
      </c>
      <c r="T6">
        <f t="shared" ref="T6:T13" si="6">E6/C6</f>
        <v>4.9646954986760812E-3</v>
      </c>
      <c r="U6">
        <f t="shared" ref="U6:U13" si="7">E6/D6</f>
        <v>0.38476390114739628</v>
      </c>
      <c r="V6">
        <f t="shared" ref="V6:V13" si="8">L6/B6</f>
        <v>1938.1380645161291</v>
      </c>
      <c r="W6">
        <f t="shared" ref="W6:W13" si="9">L6/D6</f>
        <v>642.15256785083852</v>
      </c>
      <c r="X6" s="6">
        <f t="shared" ref="X6:X13" si="10">L6/E6</f>
        <v>1668.9522222222224</v>
      </c>
      <c r="Y6">
        <v>1470.95</v>
      </c>
      <c r="Z6">
        <v>43</v>
      </c>
      <c r="AA6">
        <f t="shared" ref="AA6:AA13" si="11">(E6/(C6*4))*100</f>
        <v>0.12411738746690203</v>
      </c>
      <c r="AB6">
        <f t="shared" ref="AB6:AB13" si="12">C6*4</f>
        <v>72512</v>
      </c>
    </row>
    <row r="7" spans="1:28" x14ac:dyDescent="0.25">
      <c r="A7" t="s">
        <v>11</v>
      </c>
      <c r="B7">
        <v>39</v>
      </c>
      <c r="C7">
        <v>9106</v>
      </c>
      <c r="D7" s="18">
        <f t="shared" si="2"/>
        <v>233.48717948717947</v>
      </c>
      <c r="E7" s="16">
        <v>37</v>
      </c>
      <c r="F7">
        <f t="shared" si="3"/>
        <v>31</v>
      </c>
      <c r="G7">
        <v>1</v>
      </c>
      <c r="H7">
        <f>2+2</f>
        <v>4</v>
      </c>
      <c r="I7">
        <v>1</v>
      </c>
      <c r="J7">
        <v>0</v>
      </c>
      <c r="K7">
        <v>0</v>
      </c>
      <c r="L7" s="8">
        <v>17150.29</v>
      </c>
      <c r="M7">
        <f t="shared" si="4"/>
        <v>10635.78</v>
      </c>
      <c r="N7">
        <v>265.89999999999998</v>
      </c>
      <c r="O7">
        <f>389.2+323.5+2407.55+2814.18</f>
        <v>5934.43</v>
      </c>
      <c r="P7">
        <v>314.18</v>
      </c>
      <c r="Q7">
        <v>0</v>
      </c>
      <c r="R7">
        <v>0</v>
      </c>
      <c r="S7" s="22">
        <f t="shared" si="5"/>
        <v>0.94871794871794868</v>
      </c>
      <c r="T7">
        <f t="shared" si="6"/>
        <v>4.0632549967054687E-3</v>
      </c>
      <c r="U7">
        <f t="shared" si="7"/>
        <v>0.1584669448715133</v>
      </c>
      <c r="V7">
        <f t="shared" si="8"/>
        <v>439.75102564102565</v>
      </c>
      <c r="W7">
        <f t="shared" si="9"/>
        <v>73.452812431363938</v>
      </c>
      <c r="X7" s="6">
        <f t="shared" si="10"/>
        <v>463.52135135135137</v>
      </c>
      <c r="Y7">
        <v>1401.57</v>
      </c>
      <c r="Z7">
        <v>34</v>
      </c>
      <c r="AA7">
        <f t="shared" si="11"/>
        <v>0.10158137491763672</v>
      </c>
      <c r="AB7">
        <f t="shared" si="12"/>
        <v>36424</v>
      </c>
    </row>
    <row r="8" spans="1:28" x14ac:dyDescent="0.25">
      <c r="A8" t="s">
        <v>16</v>
      </c>
      <c r="B8">
        <v>65.75</v>
      </c>
      <c r="C8">
        <v>10562</v>
      </c>
      <c r="D8" s="18">
        <f t="shared" si="2"/>
        <v>160.63878326996198</v>
      </c>
      <c r="E8" s="16">
        <v>29</v>
      </c>
      <c r="F8">
        <f t="shared" si="3"/>
        <v>17</v>
      </c>
      <c r="G8">
        <f>1+1</f>
        <v>2</v>
      </c>
      <c r="H8">
        <f>4+4</f>
        <v>8</v>
      </c>
      <c r="I8">
        <v>0</v>
      </c>
      <c r="J8">
        <v>0</v>
      </c>
      <c r="K8">
        <f>1+1</f>
        <v>2</v>
      </c>
      <c r="L8" s="8">
        <v>37981.86</v>
      </c>
      <c r="M8">
        <f t="shared" si="4"/>
        <v>8822.6400000000031</v>
      </c>
      <c r="N8">
        <f>468.08+1346.38</f>
        <v>1814.46</v>
      </c>
      <c r="O8">
        <v>25275.599999999999</v>
      </c>
      <c r="P8">
        <v>0</v>
      </c>
      <c r="Q8">
        <v>0</v>
      </c>
      <c r="R8">
        <f>223.46+1845.7</f>
        <v>2069.16</v>
      </c>
      <c r="S8" s="22">
        <f t="shared" si="5"/>
        <v>0.44106463878326996</v>
      </c>
      <c r="T8">
        <f t="shared" si="6"/>
        <v>2.7456921037682259E-3</v>
      </c>
      <c r="U8">
        <f t="shared" si="7"/>
        <v>0.18052925582276083</v>
      </c>
      <c r="V8">
        <f t="shared" si="8"/>
        <v>577.6708745247148</v>
      </c>
      <c r="W8">
        <f t="shared" si="9"/>
        <v>236.44265243325128</v>
      </c>
      <c r="X8" s="6">
        <f t="shared" si="10"/>
        <v>1309.7193103448276</v>
      </c>
      <c r="Y8">
        <v>3008.21</v>
      </c>
      <c r="Z8">
        <v>20</v>
      </c>
      <c r="AA8">
        <f t="shared" si="11"/>
        <v>6.8642302594205645E-2</v>
      </c>
      <c r="AB8">
        <f t="shared" si="12"/>
        <v>42248</v>
      </c>
    </row>
    <row r="9" spans="1:28" x14ac:dyDescent="0.25">
      <c r="A9" t="s">
        <v>13</v>
      </c>
      <c r="B9">
        <v>36.75</v>
      </c>
      <c r="C9">
        <v>7588</v>
      </c>
      <c r="D9" s="18">
        <f t="shared" si="2"/>
        <v>206.47619047619048</v>
      </c>
      <c r="E9" s="16">
        <v>18</v>
      </c>
      <c r="F9">
        <f t="shared" si="3"/>
        <v>12</v>
      </c>
      <c r="G9">
        <v>1</v>
      </c>
      <c r="H9">
        <f>2+3</f>
        <v>5</v>
      </c>
      <c r="I9">
        <v>0</v>
      </c>
      <c r="J9">
        <v>0</v>
      </c>
      <c r="K9">
        <v>0</v>
      </c>
      <c r="L9" s="8">
        <v>21288.02</v>
      </c>
      <c r="M9">
        <f t="shared" si="4"/>
        <v>14458.060000000001</v>
      </c>
      <c r="N9">
        <v>2356.4</v>
      </c>
      <c r="O9">
        <f>265.7+314.18+1289.76+314.18+2289.74</f>
        <v>4473.5599999999995</v>
      </c>
      <c r="P9">
        <v>0</v>
      </c>
      <c r="Q9">
        <v>0</v>
      </c>
      <c r="R9">
        <v>0</v>
      </c>
      <c r="S9" s="22">
        <f t="shared" si="5"/>
        <v>0.48979591836734693</v>
      </c>
      <c r="T9">
        <f t="shared" si="6"/>
        <v>2.3721665788086453E-3</v>
      </c>
      <c r="U9">
        <f t="shared" si="7"/>
        <v>8.7177121771217711E-2</v>
      </c>
      <c r="V9">
        <f t="shared" si="8"/>
        <v>579.26585034013601</v>
      </c>
      <c r="W9">
        <f t="shared" si="9"/>
        <v>103.10157287822878</v>
      </c>
      <c r="X9" s="6">
        <f t="shared" si="10"/>
        <v>1182.6677777777777</v>
      </c>
      <c r="Y9">
        <v>2723.96</v>
      </c>
      <c r="Z9">
        <v>11</v>
      </c>
      <c r="AA9">
        <f t="shared" si="11"/>
        <v>5.9304164470216136E-2</v>
      </c>
      <c r="AB9">
        <f t="shared" si="12"/>
        <v>30352</v>
      </c>
    </row>
    <row r="10" spans="1:28" x14ac:dyDescent="0.25">
      <c r="A10" t="s">
        <v>9</v>
      </c>
      <c r="B10">
        <v>47.25</v>
      </c>
      <c r="C10">
        <v>11470</v>
      </c>
      <c r="D10" s="18">
        <f t="shared" si="2"/>
        <v>242.75132275132276</v>
      </c>
      <c r="E10" s="16">
        <v>13</v>
      </c>
      <c r="F10">
        <f t="shared" si="3"/>
        <v>5</v>
      </c>
      <c r="G10">
        <f>1+2</f>
        <v>3</v>
      </c>
      <c r="H10">
        <f>2+3</f>
        <v>5</v>
      </c>
      <c r="I10">
        <v>0</v>
      </c>
      <c r="J10">
        <v>0</v>
      </c>
      <c r="K10">
        <v>0</v>
      </c>
      <c r="L10" s="8">
        <v>36046.730000000003</v>
      </c>
      <c r="M10">
        <f t="shared" si="4"/>
        <v>1669.9000000000015</v>
      </c>
      <c r="N10">
        <f>20208.99+303.31+254.88</f>
        <v>20767.180000000004</v>
      </c>
      <c r="O10">
        <f>323.5+1832.74+1745.7+7404.4+2303.31</f>
        <v>13609.65</v>
      </c>
      <c r="P10">
        <v>0</v>
      </c>
      <c r="Q10">
        <v>0</v>
      </c>
      <c r="R10">
        <v>0</v>
      </c>
      <c r="S10" s="22">
        <f t="shared" si="5"/>
        <v>0.27513227513227512</v>
      </c>
      <c r="T10">
        <f t="shared" si="6"/>
        <v>1.1333914559721011E-3</v>
      </c>
      <c r="U10">
        <f t="shared" si="7"/>
        <v>5.3552746294681777E-2</v>
      </c>
      <c r="V10">
        <f t="shared" si="8"/>
        <v>762.89375661375664</v>
      </c>
      <c r="W10">
        <f t="shared" si="9"/>
        <v>148.49241434176113</v>
      </c>
      <c r="X10" s="6">
        <f t="shared" si="10"/>
        <v>2772.8253846153848</v>
      </c>
      <c r="Y10">
        <v>2935.95</v>
      </c>
      <c r="Z10">
        <v>8</v>
      </c>
      <c r="AA10">
        <f t="shared" si="11"/>
        <v>2.8334786399302526E-2</v>
      </c>
      <c r="AB10">
        <f t="shared" si="12"/>
        <v>45880</v>
      </c>
    </row>
    <row r="11" spans="1:28" x14ac:dyDescent="0.25">
      <c r="A11" t="s">
        <v>12</v>
      </c>
      <c r="B11">
        <v>29.25</v>
      </c>
      <c r="C11">
        <v>7962</v>
      </c>
      <c r="D11" s="18">
        <f t="shared" si="2"/>
        <v>272.20512820512823</v>
      </c>
      <c r="E11" s="16">
        <v>7</v>
      </c>
      <c r="F11">
        <f t="shared" si="3"/>
        <v>7</v>
      </c>
      <c r="G11">
        <v>0</v>
      </c>
      <c r="H11">
        <v>0</v>
      </c>
      <c r="I11">
        <v>0</v>
      </c>
      <c r="J11">
        <v>0</v>
      </c>
      <c r="K11">
        <v>0</v>
      </c>
      <c r="L11" s="8">
        <v>2688.44</v>
      </c>
      <c r="M11">
        <f t="shared" si="4"/>
        <v>2688.44</v>
      </c>
      <c r="N11">
        <v>0</v>
      </c>
      <c r="O11">
        <v>0</v>
      </c>
      <c r="P11">
        <v>0</v>
      </c>
      <c r="Q11">
        <v>0</v>
      </c>
      <c r="R11">
        <v>0</v>
      </c>
      <c r="S11" s="22">
        <f t="shared" si="5"/>
        <v>0.23931623931623933</v>
      </c>
      <c r="T11">
        <f t="shared" si="6"/>
        <v>8.7917608641044961E-4</v>
      </c>
      <c r="U11">
        <f t="shared" si="7"/>
        <v>2.571590052750565E-2</v>
      </c>
      <c r="V11">
        <f t="shared" si="8"/>
        <v>91.912478632478638</v>
      </c>
      <c r="W11">
        <f t="shared" si="9"/>
        <v>9.8765222305953273</v>
      </c>
      <c r="X11" s="6">
        <f t="shared" si="10"/>
        <v>384.06285714285713</v>
      </c>
      <c r="Y11">
        <v>0</v>
      </c>
      <c r="Z11">
        <v>7</v>
      </c>
      <c r="AA11">
        <f t="shared" si="11"/>
        <v>2.197940216026124E-2</v>
      </c>
      <c r="AB11">
        <f t="shared" si="12"/>
        <v>31848</v>
      </c>
    </row>
    <row r="12" spans="1:28" x14ac:dyDescent="0.25">
      <c r="A12" t="s">
        <v>14</v>
      </c>
      <c r="B12">
        <v>37.25</v>
      </c>
      <c r="C12">
        <v>8014</v>
      </c>
      <c r="D12" s="18">
        <f t="shared" si="2"/>
        <v>215.14093959731542</v>
      </c>
      <c r="E12" s="16">
        <v>6</v>
      </c>
      <c r="F12">
        <f t="shared" si="3"/>
        <v>3</v>
      </c>
      <c r="G12">
        <v>2</v>
      </c>
      <c r="H12">
        <v>0</v>
      </c>
      <c r="I12">
        <v>1</v>
      </c>
      <c r="J12">
        <v>0</v>
      </c>
      <c r="K12">
        <v>0</v>
      </c>
      <c r="L12" s="8">
        <v>2079.5</v>
      </c>
      <c r="M12">
        <f t="shared" si="4"/>
        <v>1019.1700000000001</v>
      </c>
      <c r="N12">
        <f>375.22+392.73</f>
        <v>767.95</v>
      </c>
      <c r="O12">
        <v>0</v>
      </c>
      <c r="P12">
        <v>292.38</v>
      </c>
      <c r="Q12">
        <v>0</v>
      </c>
      <c r="R12">
        <v>0</v>
      </c>
      <c r="S12" s="22">
        <f t="shared" si="5"/>
        <v>0.16107382550335569</v>
      </c>
      <c r="T12">
        <f t="shared" si="6"/>
        <v>7.4868979286249059E-4</v>
      </c>
      <c r="U12">
        <f t="shared" si="7"/>
        <v>2.7888694784127779E-2</v>
      </c>
      <c r="V12">
        <f t="shared" si="8"/>
        <v>55.825503355704697</v>
      </c>
      <c r="W12">
        <f t="shared" si="9"/>
        <v>9.6657568005989525</v>
      </c>
      <c r="X12" s="6">
        <f t="shared" si="10"/>
        <v>346.58333333333331</v>
      </c>
      <c r="Y12">
        <v>0</v>
      </c>
      <c r="Z12">
        <v>5</v>
      </c>
      <c r="AA12">
        <f t="shared" si="11"/>
        <v>1.8717244821562264E-2</v>
      </c>
      <c r="AB12">
        <f t="shared" si="12"/>
        <v>32056</v>
      </c>
    </row>
    <row r="13" spans="1:28" x14ac:dyDescent="0.25">
      <c r="A13" t="s">
        <v>15</v>
      </c>
      <c r="B13">
        <v>30.5</v>
      </c>
      <c r="C13">
        <v>8704</v>
      </c>
      <c r="D13" s="18">
        <f t="shared" si="2"/>
        <v>285.37704918032784</v>
      </c>
      <c r="E13" s="16">
        <v>6</v>
      </c>
      <c r="F13">
        <f t="shared" si="3"/>
        <v>4</v>
      </c>
      <c r="G13">
        <v>1</v>
      </c>
      <c r="H13">
        <v>1</v>
      </c>
      <c r="I13">
        <v>0</v>
      </c>
      <c r="J13">
        <v>0</v>
      </c>
      <c r="K13">
        <v>0</v>
      </c>
      <c r="L13" s="8">
        <v>4747.9399999999996</v>
      </c>
      <c r="M13">
        <f t="shared" si="4"/>
        <v>3116.8899999999994</v>
      </c>
      <c r="N13">
        <v>1307.55</v>
      </c>
      <c r="O13">
        <v>323.5</v>
      </c>
      <c r="P13">
        <v>0</v>
      </c>
      <c r="Q13">
        <v>0</v>
      </c>
      <c r="R13">
        <v>0</v>
      </c>
      <c r="S13" s="22">
        <f t="shared" si="5"/>
        <v>0.19672131147540983</v>
      </c>
      <c r="T13">
        <f t="shared" si="6"/>
        <v>6.8933823529411769E-4</v>
      </c>
      <c r="U13">
        <f t="shared" si="7"/>
        <v>2.102481617647059E-2</v>
      </c>
      <c r="V13">
        <f t="shared" si="8"/>
        <v>155.67016393442623</v>
      </c>
      <c r="W13">
        <f t="shared" si="9"/>
        <v>16.637427619485294</v>
      </c>
      <c r="X13" s="6">
        <f t="shared" si="10"/>
        <v>791.32333333333327</v>
      </c>
      <c r="Y13">
        <v>736.54</v>
      </c>
      <c r="Z13">
        <v>4</v>
      </c>
      <c r="AA13">
        <f t="shared" si="11"/>
        <v>1.7233455882352942E-2</v>
      </c>
      <c r="AB13">
        <f t="shared" si="12"/>
        <v>34816</v>
      </c>
    </row>
    <row r="14" spans="1:28" s="7" customFormat="1" x14ac:dyDescent="0.25">
      <c r="D14" s="24"/>
    </row>
    <row r="15" spans="1:28" x14ac:dyDescent="0.25">
      <c r="A15" t="s">
        <v>76</v>
      </c>
      <c r="B15">
        <f>(40+38+40+35)/4</f>
        <v>38.25</v>
      </c>
      <c r="C15">
        <v>13864.8</v>
      </c>
      <c r="D15" s="18">
        <f t="shared" ref="D15:D46" si="13">C15/B15</f>
        <v>362.47843137254898</v>
      </c>
      <c r="E15" s="16">
        <v>132</v>
      </c>
      <c r="F15">
        <f t="shared" ref="F15:F34" si="14">E15-SUM(G15:K15)</f>
        <v>91</v>
      </c>
      <c r="G15">
        <v>2</v>
      </c>
      <c r="H15">
        <v>26</v>
      </c>
      <c r="I15">
        <v>0</v>
      </c>
      <c r="J15">
        <f>1+1</f>
        <v>2</v>
      </c>
      <c r="K15">
        <f>9+2</f>
        <v>11</v>
      </c>
      <c r="L15" s="8">
        <v>457762.7</v>
      </c>
      <c r="M15">
        <f t="shared" ref="M15:M46" si="15">L15-SUM(N15:R15)</f>
        <v>326741.71000000002</v>
      </c>
      <c r="N15">
        <f>829.6+754.88</f>
        <v>1584.48</v>
      </c>
      <c r="O15">
        <v>62809</v>
      </c>
      <c r="P15">
        <v>0</v>
      </c>
      <c r="Q15">
        <f>223.46+3293.3</f>
        <v>3516.76</v>
      </c>
      <c r="R15">
        <f>223.46+413.58+62473.71</f>
        <v>63110.75</v>
      </c>
      <c r="S15" s="22">
        <f t="shared" ref="S15:S46" si="16">E15/B15</f>
        <v>3.4509803921568629</v>
      </c>
      <c r="T15">
        <f t="shared" ref="T15:T46" si="17">E15/C15</f>
        <v>9.5205123766660908E-3</v>
      </c>
      <c r="U15">
        <f t="shared" ref="U15:U46" si="18">E15/D15</f>
        <v>0.36415959840747797</v>
      </c>
      <c r="V15">
        <f t="shared" ref="V15:V46" si="19">L15/B15</f>
        <v>11967.652287581699</v>
      </c>
      <c r="W15">
        <f t="shared" ref="W15:W46" si="20">L15/D15</f>
        <v>1262.8687954388092</v>
      </c>
      <c r="X15" s="6">
        <f t="shared" ref="X15:X46" si="21">L15/E15</f>
        <v>3467.8992424242424</v>
      </c>
      <c r="Y15">
        <v>5630.43</v>
      </c>
      <c r="Z15">
        <v>3</v>
      </c>
      <c r="AA15">
        <f t="shared" ref="AA15:AA46" si="22">(E15/(C15*4))*100</f>
        <v>0.23801280941665226</v>
      </c>
      <c r="AB15">
        <f t="shared" ref="AB15:AB46" si="23">C15*4</f>
        <v>55459.199999999997</v>
      </c>
    </row>
    <row r="16" spans="1:28" x14ac:dyDescent="0.25">
      <c r="A16" t="s">
        <v>62</v>
      </c>
      <c r="B16">
        <f>(31+31+32+30)/4</f>
        <v>31</v>
      </c>
      <c r="C16">
        <v>11152.3</v>
      </c>
      <c r="D16" s="18">
        <f t="shared" si="13"/>
        <v>359.7516129032258</v>
      </c>
      <c r="E16" s="16">
        <v>81</v>
      </c>
      <c r="F16">
        <f t="shared" si="14"/>
        <v>60</v>
      </c>
      <c r="G16">
        <f>2+1</f>
        <v>3</v>
      </c>
      <c r="H16">
        <v>2</v>
      </c>
      <c r="I16">
        <v>0</v>
      </c>
      <c r="J16">
        <v>5</v>
      </c>
      <c r="K16">
        <f>10+1</f>
        <v>11</v>
      </c>
      <c r="L16" s="8">
        <v>325394.5</v>
      </c>
      <c r="M16">
        <f t="shared" si="15"/>
        <v>281814.42</v>
      </c>
      <c r="N16">
        <f>1803.3+2215.77+254.32</f>
        <v>4273.3899999999994</v>
      </c>
      <c r="O16">
        <f>223.46+1754.88</f>
        <v>1978.3400000000001</v>
      </c>
      <c r="P16">
        <v>0</v>
      </c>
      <c r="Q16">
        <v>16671.75</v>
      </c>
      <c r="R16">
        <f>20353.29+303.31</f>
        <v>20656.600000000002</v>
      </c>
      <c r="S16" s="22">
        <f t="shared" si="16"/>
        <v>2.6129032258064515</v>
      </c>
      <c r="T16">
        <f t="shared" si="17"/>
        <v>7.2630757780906188E-3</v>
      </c>
      <c r="U16">
        <f t="shared" si="18"/>
        <v>0.22515534912080917</v>
      </c>
      <c r="V16">
        <f t="shared" si="19"/>
        <v>10496.596774193549</v>
      </c>
      <c r="W16">
        <f t="shared" si="20"/>
        <v>904.49768209248316</v>
      </c>
      <c r="X16" s="6">
        <f t="shared" si="21"/>
        <v>4017.2160493827159</v>
      </c>
      <c r="Y16">
        <v>5187.47</v>
      </c>
      <c r="Z16">
        <v>2</v>
      </c>
      <c r="AA16">
        <f t="shared" si="22"/>
        <v>0.18157689445226546</v>
      </c>
      <c r="AB16">
        <f t="shared" si="23"/>
        <v>44609.2</v>
      </c>
    </row>
    <row r="17" spans="1:28" x14ac:dyDescent="0.25">
      <c r="A17" t="s">
        <v>63</v>
      </c>
      <c r="B17">
        <f>(34+34+34+36)/4</f>
        <v>34.5</v>
      </c>
      <c r="C17">
        <v>11924.5</v>
      </c>
      <c r="D17" s="18">
        <f t="shared" si="13"/>
        <v>345.63768115942031</v>
      </c>
      <c r="E17" s="16">
        <v>67</v>
      </c>
      <c r="F17">
        <f t="shared" si="14"/>
        <v>39</v>
      </c>
      <c r="G17">
        <v>3</v>
      </c>
      <c r="H17">
        <f>1+7</f>
        <v>8</v>
      </c>
      <c r="I17">
        <v>0</v>
      </c>
      <c r="J17">
        <v>1</v>
      </c>
      <c r="K17">
        <f>2+14</f>
        <v>16</v>
      </c>
      <c r="L17" s="8">
        <v>206342.2</v>
      </c>
      <c r="M17">
        <f t="shared" si="15"/>
        <v>152139.31</v>
      </c>
      <c r="N17">
        <f>1754.88+2223.46+2723.46</f>
        <v>6701.8</v>
      </c>
      <c r="O17">
        <v>16788.490000000002</v>
      </c>
      <c r="P17">
        <v>0</v>
      </c>
      <c r="Q17">
        <v>2265.92</v>
      </c>
      <c r="R17">
        <v>28446.68</v>
      </c>
      <c r="S17" s="22">
        <f t="shared" si="16"/>
        <v>1.9420289855072463</v>
      </c>
      <c r="T17">
        <f t="shared" si="17"/>
        <v>5.6186842215606523E-3</v>
      </c>
      <c r="U17">
        <f t="shared" si="18"/>
        <v>0.19384460564384251</v>
      </c>
      <c r="V17">
        <f t="shared" si="19"/>
        <v>5980.9333333333334</v>
      </c>
      <c r="W17">
        <f t="shared" si="20"/>
        <v>596.98988636840124</v>
      </c>
      <c r="X17" s="6">
        <f t="shared" si="21"/>
        <v>3079.734328358209</v>
      </c>
      <c r="Y17">
        <v>2803.55</v>
      </c>
      <c r="Z17">
        <v>1</v>
      </c>
      <c r="AA17">
        <f t="shared" si="22"/>
        <v>0.14046710553901631</v>
      </c>
      <c r="AB17">
        <f t="shared" si="23"/>
        <v>47698</v>
      </c>
    </row>
    <row r="18" spans="1:28" x14ac:dyDescent="0.25">
      <c r="A18" t="s">
        <v>60</v>
      </c>
      <c r="B18">
        <f>(35+36+36+35)/4</f>
        <v>35.5</v>
      </c>
      <c r="C18">
        <v>10524.8</v>
      </c>
      <c r="D18" s="18">
        <f t="shared" si="13"/>
        <v>296.47323943661968</v>
      </c>
      <c r="E18" s="16">
        <v>64</v>
      </c>
      <c r="F18">
        <f t="shared" si="14"/>
        <v>58</v>
      </c>
      <c r="G18">
        <v>1</v>
      </c>
      <c r="H18">
        <v>0</v>
      </c>
      <c r="I18">
        <v>0</v>
      </c>
      <c r="J18">
        <v>0</v>
      </c>
      <c r="K18">
        <f>3+2</f>
        <v>5</v>
      </c>
      <c r="L18" s="8">
        <v>215551.2</v>
      </c>
      <c r="M18">
        <f t="shared" si="15"/>
        <v>211409.59000000003</v>
      </c>
      <c r="N18">
        <v>500</v>
      </c>
      <c r="O18">
        <v>0</v>
      </c>
      <c r="P18">
        <v>0</v>
      </c>
      <c r="Q18">
        <v>0</v>
      </c>
      <c r="R18">
        <v>3641.61</v>
      </c>
      <c r="S18" s="22">
        <f t="shared" si="16"/>
        <v>1.8028169014084507</v>
      </c>
      <c r="T18">
        <f t="shared" si="17"/>
        <v>6.0808756460930379E-3</v>
      </c>
      <c r="U18">
        <f t="shared" si="18"/>
        <v>0.21587108543630285</v>
      </c>
      <c r="V18">
        <f t="shared" si="19"/>
        <v>6071.864788732395</v>
      </c>
      <c r="W18">
        <f t="shared" si="20"/>
        <v>727.05111736090009</v>
      </c>
      <c r="X18" s="6">
        <f t="shared" si="21"/>
        <v>3367.9875000000002</v>
      </c>
      <c r="Y18">
        <v>9012.39</v>
      </c>
      <c r="Z18">
        <v>4</v>
      </c>
      <c r="AA18">
        <f t="shared" si="22"/>
        <v>0.15202189115232595</v>
      </c>
      <c r="AB18">
        <f t="shared" si="23"/>
        <v>42099.199999999997</v>
      </c>
    </row>
    <row r="19" spans="1:28" x14ac:dyDescent="0.25">
      <c r="A19" t="s">
        <v>28</v>
      </c>
      <c r="B19">
        <f>(37+37+37+40)/4</f>
        <v>37.75</v>
      </c>
      <c r="C19">
        <v>13795</v>
      </c>
      <c r="D19" s="18">
        <f t="shared" si="13"/>
        <v>365.43046357615896</v>
      </c>
      <c r="E19" s="16">
        <v>58</v>
      </c>
      <c r="F19">
        <f t="shared" si="14"/>
        <v>46</v>
      </c>
      <c r="G19">
        <v>2</v>
      </c>
      <c r="H19">
        <v>2</v>
      </c>
      <c r="I19">
        <v>0</v>
      </c>
      <c r="J19">
        <v>0</v>
      </c>
      <c r="K19">
        <f>6+2</f>
        <v>8</v>
      </c>
      <c r="L19" s="8">
        <v>280042.5</v>
      </c>
      <c r="M19">
        <f t="shared" si="15"/>
        <v>247963.13</v>
      </c>
      <c r="N19">
        <f>2769.58+4269.58</f>
        <v>7039.16</v>
      </c>
      <c r="O19">
        <f>4261.82+5438.55</f>
        <v>9700.369999999999</v>
      </c>
      <c r="P19">
        <v>0</v>
      </c>
      <c r="Q19">
        <v>0</v>
      </c>
      <c r="R19">
        <f>976.32+120.88+2245.7+2904.37+1404.37+3485.24+2806.34+1396.62</f>
        <v>15339.84</v>
      </c>
      <c r="S19" s="22">
        <f t="shared" si="16"/>
        <v>1.5364238410596027</v>
      </c>
      <c r="T19">
        <f t="shared" si="17"/>
        <v>4.2044218919898516E-3</v>
      </c>
      <c r="U19">
        <f t="shared" si="18"/>
        <v>0.15871692642261689</v>
      </c>
      <c r="V19">
        <f t="shared" si="19"/>
        <v>7418.3443708609275</v>
      </c>
      <c r="W19">
        <f t="shared" si="20"/>
        <v>766.33594599492562</v>
      </c>
      <c r="X19" s="6">
        <f t="shared" si="21"/>
        <v>4828.3189655172409</v>
      </c>
      <c r="Y19">
        <v>11680.93</v>
      </c>
      <c r="Z19">
        <v>2</v>
      </c>
      <c r="AA19">
        <f t="shared" si="22"/>
        <v>0.1051105472997463</v>
      </c>
      <c r="AB19">
        <f t="shared" si="23"/>
        <v>55180</v>
      </c>
    </row>
    <row r="20" spans="1:28" x14ac:dyDescent="0.25">
      <c r="A20" t="s">
        <v>73</v>
      </c>
      <c r="B20">
        <f>(30+31+32+32)/4</f>
        <v>31.25</v>
      </c>
      <c r="C20">
        <v>6792</v>
      </c>
      <c r="D20" s="18">
        <f t="shared" si="13"/>
        <v>217.34399999999999</v>
      </c>
      <c r="E20" s="16">
        <v>58</v>
      </c>
      <c r="F20">
        <f t="shared" si="14"/>
        <v>46</v>
      </c>
      <c r="G20">
        <v>3</v>
      </c>
      <c r="H20">
        <v>6</v>
      </c>
      <c r="I20">
        <v>0</v>
      </c>
      <c r="J20">
        <v>1</v>
      </c>
      <c r="K20">
        <v>2</v>
      </c>
      <c r="L20" s="8">
        <v>255339.5</v>
      </c>
      <c r="M20">
        <f t="shared" si="15"/>
        <v>217056.56</v>
      </c>
      <c r="N20">
        <f>10497.95+1269.58+2769.58</f>
        <v>14537.11</v>
      </c>
      <c r="O20">
        <v>17919.38</v>
      </c>
      <c r="P20">
        <v>0</v>
      </c>
      <c r="Q20">
        <v>2336.4299999999998</v>
      </c>
      <c r="R20">
        <f>2362.58+1127.44</f>
        <v>3490.02</v>
      </c>
      <c r="S20" s="22">
        <f t="shared" si="16"/>
        <v>1.8560000000000001</v>
      </c>
      <c r="T20">
        <f t="shared" si="17"/>
        <v>8.5394581861012956E-3</v>
      </c>
      <c r="U20">
        <f t="shared" si="18"/>
        <v>0.2668580683156655</v>
      </c>
      <c r="V20">
        <f t="shared" si="19"/>
        <v>8170.8639999999996</v>
      </c>
      <c r="W20">
        <f t="shared" si="20"/>
        <v>1174.8173402532391</v>
      </c>
      <c r="X20" s="6">
        <f t="shared" si="21"/>
        <v>4402.4051724137935</v>
      </c>
      <c r="Y20">
        <v>3551.67</v>
      </c>
      <c r="Z20">
        <v>1</v>
      </c>
      <c r="AA20">
        <f t="shared" si="22"/>
        <v>0.21348645465253238</v>
      </c>
      <c r="AB20">
        <f t="shared" si="23"/>
        <v>27168</v>
      </c>
    </row>
    <row r="21" spans="1:28" x14ac:dyDescent="0.25">
      <c r="A21" t="s">
        <v>49</v>
      </c>
      <c r="B21">
        <f>(25+23+26+27)/4</f>
        <v>25.25</v>
      </c>
      <c r="C21">
        <v>8683.5</v>
      </c>
      <c r="D21" s="18">
        <f t="shared" si="13"/>
        <v>343.9009900990099</v>
      </c>
      <c r="E21" s="16">
        <v>52</v>
      </c>
      <c r="F21">
        <f t="shared" si="14"/>
        <v>42</v>
      </c>
      <c r="G21">
        <v>5</v>
      </c>
      <c r="H21">
        <v>1</v>
      </c>
      <c r="I21">
        <v>0</v>
      </c>
      <c r="J21">
        <v>1</v>
      </c>
      <c r="K21">
        <v>3</v>
      </c>
      <c r="L21" s="8">
        <v>209151.7</v>
      </c>
      <c r="M21">
        <f t="shared" si="15"/>
        <v>183396.69</v>
      </c>
      <c r="N21">
        <v>12235.88</v>
      </c>
      <c r="O21">
        <v>3269.58</v>
      </c>
      <c r="P21">
        <v>0</v>
      </c>
      <c r="Q21">
        <v>3303.31</v>
      </c>
      <c r="R21">
        <v>6946.24</v>
      </c>
      <c r="S21" s="22">
        <f t="shared" si="16"/>
        <v>2.0594059405940595</v>
      </c>
      <c r="T21">
        <f t="shared" si="17"/>
        <v>5.9883687453215866E-3</v>
      </c>
      <c r="U21">
        <f t="shared" si="18"/>
        <v>0.15120631081937008</v>
      </c>
      <c r="V21">
        <f t="shared" si="19"/>
        <v>8283.235643564356</v>
      </c>
      <c r="W21">
        <f t="shared" si="20"/>
        <v>608.17417228076238</v>
      </c>
      <c r="X21" s="6">
        <f t="shared" si="21"/>
        <v>4022.148076923077</v>
      </c>
      <c r="Y21">
        <v>3632.34</v>
      </c>
      <c r="Z21">
        <v>0</v>
      </c>
      <c r="AA21">
        <f t="shared" si="22"/>
        <v>0.14970921863303965</v>
      </c>
      <c r="AB21">
        <f t="shared" si="23"/>
        <v>34734</v>
      </c>
    </row>
    <row r="22" spans="1:28" x14ac:dyDescent="0.25">
      <c r="A22" t="s">
        <v>74</v>
      </c>
      <c r="B22">
        <f>(11+12+11+11)/4</f>
        <v>11.25</v>
      </c>
      <c r="C22">
        <v>5220.75</v>
      </c>
      <c r="D22" s="18">
        <f t="shared" si="13"/>
        <v>464.06666666666666</v>
      </c>
      <c r="E22" s="16">
        <v>46</v>
      </c>
      <c r="F22">
        <f t="shared" si="14"/>
        <v>38</v>
      </c>
      <c r="G22">
        <v>1</v>
      </c>
      <c r="H22">
        <v>3</v>
      </c>
      <c r="I22">
        <v>0</v>
      </c>
      <c r="J22">
        <v>1</v>
      </c>
      <c r="K22">
        <v>3</v>
      </c>
      <c r="L22" s="8">
        <v>128584.4</v>
      </c>
      <c r="M22">
        <f t="shared" si="15"/>
        <v>108696</v>
      </c>
      <c r="N22">
        <v>3457.49</v>
      </c>
      <c r="O22">
        <f>1082.32+1939.1+1769.6</f>
        <v>4791.0200000000004</v>
      </c>
      <c r="P22">
        <v>0</v>
      </c>
      <c r="Q22">
        <v>611.71</v>
      </c>
      <c r="R22">
        <f>3489+5269.6+2269.58</f>
        <v>11028.18</v>
      </c>
      <c r="S22" s="22">
        <f t="shared" si="16"/>
        <v>4.0888888888888886</v>
      </c>
      <c r="T22">
        <f t="shared" si="17"/>
        <v>8.8109945889000615E-3</v>
      </c>
      <c r="U22">
        <f t="shared" si="18"/>
        <v>9.9123689125125702E-2</v>
      </c>
      <c r="V22">
        <f t="shared" si="19"/>
        <v>11429.724444444444</v>
      </c>
      <c r="W22">
        <f t="shared" si="20"/>
        <v>277.0817411291481</v>
      </c>
      <c r="X22" s="6">
        <f t="shared" si="21"/>
        <v>2795.3130434782606</v>
      </c>
      <c r="Y22">
        <v>2052.7600000000002</v>
      </c>
      <c r="Z22">
        <v>1</v>
      </c>
      <c r="AA22">
        <f t="shared" si="22"/>
        <v>0.22027486472250155</v>
      </c>
      <c r="AB22">
        <f t="shared" si="23"/>
        <v>20883</v>
      </c>
    </row>
    <row r="23" spans="1:28" x14ac:dyDescent="0.25">
      <c r="A23" t="s">
        <v>32</v>
      </c>
      <c r="B23">
        <f>(10+11+12+13)/4</f>
        <v>11.5</v>
      </c>
      <c r="C23">
        <v>3329</v>
      </c>
      <c r="D23" s="18">
        <f t="shared" si="13"/>
        <v>289.47826086956519</v>
      </c>
      <c r="E23" s="16">
        <v>43</v>
      </c>
      <c r="F23">
        <f t="shared" si="14"/>
        <v>36</v>
      </c>
      <c r="G23">
        <v>0</v>
      </c>
      <c r="H23">
        <v>0</v>
      </c>
      <c r="I23">
        <v>0</v>
      </c>
      <c r="J23">
        <v>6</v>
      </c>
      <c r="K23">
        <v>1</v>
      </c>
      <c r="L23" s="8">
        <v>238484.9</v>
      </c>
      <c r="M23">
        <f t="shared" si="15"/>
        <v>194776.09</v>
      </c>
      <c r="N23">
        <v>0</v>
      </c>
      <c r="O23">
        <v>0</v>
      </c>
      <c r="P23">
        <v>0</v>
      </c>
      <c r="Q23">
        <v>38638.589999999997</v>
      </c>
      <c r="R23">
        <v>5070.22</v>
      </c>
      <c r="S23" s="22">
        <f t="shared" si="16"/>
        <v>3.7391304347826089</v>
      </c>
      <c r="T23">
        <f t="shared" si="17"/>
        <v>1.2916791829378192E-2</v>
      </c>
      <c r="U23">
        <f t="shared" si="18"/>
        <v>0.1485431060378492</v>
      </c>
      <c r="V23">
        <f t="shared" si="19"/>
        <v>20737.817391304347</v>
      </c>
      <c r="W23">
        <f t="shared" si="20"/>
        <v>823.8439020726945</v>
      </c>
      <c r="X23" s="6">
        <f t="shared" si="21"/>
        <v>5546.1604651162788</v>
      </c>
      <c r="Y23">
        <v>4491.91</v>
      </c>
      <c r="Z23">
        <v>0</v>
      </c>
      <c r="AA23">
        <f t="shared" si="22"/>
        <v>0.32291979573445478</v>
      </c>
      <c r="AB23">
        <f t="shared" si="23"/>
        <v>13316</v>
      </c>
    </row>
    <row r="24" spans="1:28" x14ac:dyDescent="0.25">
      <c r="A24" t="s">
        <v>65</v>
      </c>
      <c r="B24">
        <f>(21+20+21+22)/4</f>
        <v>21</v>
      </c>
      <c r="C24">
        <v>6974.75</v>
      </c>
      <c r="D24" s="18">
        <f t="shared" si="13"/>
        <v>332.13095238095241</v>
      </c>
      <c r="E24" s="16">
        <v>31</v>
      </c>
      <c r="F24">
        <f t="shared" si="14"/>
        <v>24</v>
      </c>
      <c r="G24">
        <v>0</v>
      </c>
      <c r="H24">
        <v>3</v>
      </c>
      <c r="I24">
        <v>0</v>
      </c>
      <c r="J24">
        <v>0</v>
      </c>
      <c r="K24">
        <f>3+1</f>
        <v>4</v>
      </c>
      <c r="L24" s="8">
        <v>117158.39999999999</v>
      </c>
      <c r="M24">
        <f t="shared" si="15"/>
        <v>107306.4</v>
      </c>
      <c r="N24">
        <v>0</v>
      </c>
      <c r="O24">
        <f>2975.94+1392.73+1407.55</f>
        <v>5776.22</v>
      </c>
      <c r="P24">
        <v>0</v>
      </c>
      <c r="Q24">
        <v>0</v>
      </c>
      <c r="R24">
        <f>303.31+223.46+1303.31+2245.7</f>
        <v>4075.7799999999997</v>
      </c>
      <c r="S24" s="22">
        <f t="shared" si="16"/>
        <v>1.4761904761904763</v>
      </c>
      <c r="T24">
        <f t="shared" si="17"/>
        <v>4.4446037492383243E-3</v>
      </c>
      <c r="U24">
        <f t="shared" si="18"/>
        <v>9.3336678734004794E-2</v>
      </c>
      <c r="V24">
        <f t="shared" si="19"/>
        <v>5578.9714285714281</v>
      </c>
      <c r="W24">
        <f t="shared" si="20"/>
        <v>352.74761102548473</v>
      </c>
      <c r="X24" s="6">
        <f t="shared" si="21"/>
        <v>3779.3032258064513</v>
      </c>
      <c r="Y24">
        <v>3171.66</v>
      </c>
      <c r="Z24">
        <v>1</v>
      </c>
      <c r="AA24">
        <f t="shared" si="22"/>
        <v>0.11111509373095811</v>
      </c>
      <c r="AB24">
        <f t="shared" si="23"/>
        <v>27899</v>
      </c>
    </row>
    <row r="25" spans="1:28" x14ac:dyDescent="0.25">
      <c r="A25" t="s">
        <v>58</v>
      </c>
      <c r="B25">
        <f>(22+22+25+24)/4</f>
        <v>23.25</v>
      </c>
      <c r="C25">
        <v>9898.5</v>
      </c>
      <c r="D25" s="18">
        <f t="shared" si="13"/>
        <v>425.74193548387098</v>
      </c>
      <c r="E25" s="16">
        <v>30</v>
      </c>
      <c r="F25">
        <f t="shared" si="14"/>
        <v>23</v>
      </c>
      <c r="G25">
        <v>1</v>
      </c>
      <c r="H25">
        <v>0</v>
      </c>
      <c r="I25">
        <v>0</v>
      </c>
      <c r="J25">
        <v>5</v>
      </c>
      <c r="K25">
        <v>1</v>
      </c>
      <c r="L25" s="8">
        <v>112282.4</v>
      </c>
      <c r="M25">
        <f t="shared" si="15"/>
        <v>78877.81</v>
      </c>
      <c r="N25">
        <v>2709</v>
      </c>
      <c r="O25">
        <v>0</v>
      </c>
      <c r="P25">
        <v>0</v>
      </c>
      <c r="Q25">
        <v>28136.93</v>
      </c>
      <c r="R25">
        <v>2558.66</v>
      </c>
      <c r="S25" s="22">
        <f t="shared" si="16"/>
        <v>1.2903225806451613</v>
      </c>
      <c r="T25">
        <f t="shared" si="17"/>
        <v>3.0307622367025306E-3</v>
      </c>
      <c r="U25">
        <f t="shared" si="18"/>
        <v>7.0465222003333841E-2</v>
      </c>
      <c r="V25">
        <f t="shared" si="19"/>
        <v>4829.3505376344083</v>
      </c>
      <c r="W25">
        <f t="shared" si="20"/>
        <v>263.73347476890439</v>
      </c>
      <c r="X25" s="6">
        <f t="shared" si="21"/>
        <v>3742.7466666666664</v>
      </c>
      <c r="Y25">
        <v>3181.13</v>
      </c>
      <c r="Z25">
        <v>1</v>
      </c>
      <c r="AA25">
        <f t="shared" si="22"/>
        <v>7.5769055917563263E-2</v>
      </c>
      <c r="AB25">
        <f t="shared" si="23"/>
        <v>39594</v>
      </c>
    </row>
    <row r="26" spans="1:28" x14ac:dyDescent="0.25">
      <c r="A26" t="s">
        <v>59</v>
      </c>
      <c r="B26">
        <f>(18+18+15+17)/4</f>
        <v>17</v>
      </c>
      <c r="C26">
        <v>6352.5</v>
      </c>
      <c r="D26" s="18">
        <f t="shared" si="13"/>
        <v>373.6764705882353</v>
      </c>
      <c r="E26" s="16">
        <v>24</v>
      </c>
      <c r="F26">
        <f t="shared" si="14"/>
        <v>23</v>
      </c>
      <c r="G26">
        <v>0</v>
      </c>
      <c r="H26">
        <v>0</v>
      </c>
      <c r="I26">
        <v>0</v>
      </c>
      <c r="J26">
        <v>1</v>
      </c>
      <c r="K26">
        <v>0</v>
      </c>
      <c r="L26" s="8">
        <v>194094.85</v>
      </c>
      <c r="M26">
        <f t="shared" si="15"/>
        <v>157527.39000000001</v>
      </c>
      <c r="N26">
        <v>0</v>
      </c>
      <c r="O26">
        <v>0</v>
      </c>
      <c r="P26">
        <v>0</v>
      </c>
      <c r="Q26">
        <v>36567.46</v>
      </c>
      <c r="R26">
        <v>0</v>
      </c>
      <c r="S26" s="22">
        <f t="shared" si="16"/>
        <v>1.411764705882353</v>
      </c>
      <c r="T26">
        <f t="shared" si="17"/>
        <v>3.7780401416765055E-3</v>
      </c>
      <c r="U26">
        <f t="shared" si="18"/>
        <v>6.4226682408500588E-2</v>
      </c>
      <c r="V26">
        <f t="shared" si="19"/>
        <v>11417.344117647059</v>
      </c>
      <c r="W26">
        <f t="shared" si="20"/>
        <v>519.41951200314838</v>
      </c>
      <c r="X26" s="6">
        <f t="shared" si="21"/>
        <v>8087.2854166666666</v>
      </c>
      <c r="Y26">
        <v>11276.93</v>
      </c>
      <c r="Z26">
        <v>0</v>
      </c>
      <c r="AA26">
        <f t="shared" si="22"/>
        <v>9.4451003541912631E-2</v>
      </c>
      <c r="AB26">
        <f t="shared" si="23"/>
        <v>25410</v>
      </c>
    </row>
    <row r="27" spans="1:28" x14ac:dyDescent="0.25">
      <c r="A27" t="s">
        <v>50</v>
      </c>
      <c r="B27">
        <f>(30+29+31+30)/4</f>
        <v>30</v>
      </c>
      <c r="C27">
        <v>11720.8</v>
      </c>
      <c r="D27" s="18">
        <f t="shared" si="13"/>
        <v>390.69333333333333</v>
      </c>
      <c r="E27" s="16">
        <v>21</v>
      </c>
      <c r="F27">
        <f t="shared" si="14"/>
        <v>8</v>
      </c>
      <c r="G27">
        <v>8</v>
      </c>
      <c r="H27">
        <v>0</v>
      </c>
      <c r="I27">
        <v>0</v>
      </c>
      <c r="J27">
        <v>0</v>
      </c>
      <c r="K27">
        <f>3+2</f>
        <v>5</v>
      </c>
      <c r="L27" s="8">
        <v>56213.75</v>
      </c>
      <c r="M27">
        <f t="shared" si="15"/>
        <v>20181.169999999998</v>
      </c>
      <c r="N27">
        <v>23947.45</v>
      </c>
      <c r="O27">
        <v>0</v>
      </c>
      <c r="P27">
        <v>0</v>
      </c>
      <c r="Q27">
        <v>0</v>
      </c>
      <c r="R27">
        <v>12085.13</v>
      </c>
      <c r="S27" s="22">
        <f t="shared" si="16"/>
        <v>0.7</v>
      </c>
      <c r="T27">
        <f t="shared" si="17"/>
        <v>1.79168657429527E-3</v>
      </c>
      <c r="U27">
        <f t="shared" si="18"/>
        <v>5.3750597228858096E-2</v>
      </c>
      <c r="V27">
        <f t="shared" si="19"/>
        <v>1873.7916666666667</v>
      </c>
      <c r="W27">
        <f t="shared" si="20"/>
        <v>143.88203023684392</v>
      </c>
      <c r="X27" s="6">
        <f t="shared" si="21"/>
        <v>2676.8452380952381</v>
      </c>
      <c r="Y27">
        <v>2024.65</v>
      </c>
      <c r="Z27">
        <v>3</v>
      </c>
      <c r="AA27">
        <f t="shared" si="22"/>
        <v>4.4792164357381752E-2</v>
      </c>
      <c r="AB27">
        <f t="shared" si="23"/>
        <v>46883.199999999997</v>
      </c>
    </row>
    <row r="28" spans="1:28" x14ac:dyDescent="0.25">
      <c r="A28" t="s">
        <v>25</v>
      </c>
      <c r="B28">
        <f>(18+17+17+17)/4</f>
        <v>17.25</v>
      </c>
      <c r="C28">
        <v>6314</v>
      </c>
      <c r="D28" s="18">
        <f t="shared" si="13"/>
        <v>366.02898550724638</v>
      </c>
      <c r="E28" s="16">
        <v>17</v>
      </c>
      <c r="F28">
        <f t="shared" si="14"/>
        <v>12</v>
      </c>
      <c r="G28">
        <v>0</v>
      </c>
      <c r="H28">
        <v>0</v>
      </c>
      <c r="I28">
        <v>0</v>
      </c>
      <c r="J28">
        <v>2</v>
      </c>
      <c r="K28">
        <v>3</v>
      </c>
      <c r="L28" s="8">
        <v>62171.75</v>
      </c>
      <c r="M28">
        <f t="shared" si="15"/>
        <v>36342.160000000003</v>
      </c>
      <c r="N28">
        <v>0</v>
      </c>
      <c r="O28">
        <v>0</v>
      </c>
      <c r="P28">
        <v>0</v>
      </c>
      <c r="Q28">
        <f>4122.85+15323.5</f>
        <v>19446.349999999999</v>
      </c>
      <c r="R28">
        <f>3314.18+1314.18+1754.88</f>
        <v>6383.24</v>
      </c>
      <c r="S28" s="22">
        <f t="shared" si="16"/>
        <v>0.98550724637681164</v>
      </c>
      <c r="T28">
        <f t="shared" si="17"/>
        <v>2.6924295216978144E-3</v>
      </c>
      <c r="U28">
        <f t="shared" si="18"/>
        <v>4.6444409249287298E-2</v>
      </c>
      <c r="V28">
        <f t="shared" si="19"/>
        <v>3604.159420289855</v>
      </c>
      <c r="W28">
        <f t="shared" si="20"/>
        <v>169.85471769084575</v>
      </c>
      <c r="X28" s="6">
        <f t="shared" si="21"/>
        <v>3657.1617647058824</v>
      </c>
      <c r="Y28">
        <v>3578.65</v>
      </c>
      <c r="Z28">
        <v>0</v>
      </c>
      <c r="AA28">
        <f t="shared" si="22"/>
        <v>6.7310738042445362E-2</v>
      </c>
      <c r="AB28">
        <f t="shared" si="23"/>
        <v>25256</v>
      </c>
    </row>
    <row r="29" spans="1:28" x14ac:dyDescent="0.25">
      <c r="A29" t="s">
        <v>51</v>
      </c>
      <c r="B29">
        <v>9.75</v>
      </c>
      <c r="C29">
        <v>3064.5</v>
      </c>
      <c r="D29" s="18">
        <f t="shared" si="13"/>
        <v>314.30769230769232</v>
      </c>
      <c r="E29" s="16">
        <v>17</v>
      </c>
      <c r="F29">
        <f t="shared" si="14"/>
        <v>15</v>
      </c>
      <c r="G29">
        <v>0</v>
      </c>
      <c r="H29">
        <v>1</v>
      </c>
      <c r="I29">
        <v>0</v>
      </c>
      <c r="J29">
        <v>0</v>
      </c>
      <c r="K29">
        <v>1</v>
      </c>
      <c r="L29" s="8">
        <v>51998.52</v>
      </c>
      <c r="M29">
        <f t="shared" si="15"/>
        <v>50601.909999999996</v>
      </c>
      <c r="N29">
        <v>0</v>
      </c>
      <c r="O29">
        <v>1396.61</v>
      </c>
      <c r="P29">
        <v>0</v>
      </c>
      <c r="Q29">
        <v>0</v>
      </c>
      <c r="R29">
        <v>0</v>
      </c>
      <c r="S29" s="22">
        <f t="shared" si="16"/>
        <v>1.7435897435897436</v>
      </c>
      <c r="T29">
        <f t="shared" si="17"/>
        <v>5.5473976178821993E-3</v>
      </c>
      <c r="U29">
        <f t="shared" si="18"/>
        <v>5.4087126774351443E-2</v>
      </c>
      <c r="V29">
        <f t="shared" si="19"/>
        <v>5333.1815384615384</v>
      </c>
      <c r="W29">
        <f t="shared" si="20"/>
        <v>165.43826725403815</v>
      </c>
      <c r="X29" s="6">
        <f t="shared" si="21"/>
        <v>3058.7364705882351</v>
      </c>
      <c r="Y29">
        <v>3660.63</v>
      </c>
      <c r="Z29">
        <v>0</v>
      </c>
      <c r="AA29">
        <f t="shared" si="22"/>
        <v>0.13868494044705498</v>
      </c>
      <c r="AB29">
        <f t="shared" si="23"/>
        <v>12258</v>
      </c>
    </row>
    <row r="30" spans="1:28" x14ac:dyDescent="0.25">
      <c r="A30" t="s">
        <v>57</v>
      </c>
      <c r="B30">
        <f>(15+15+14+15)/4</f>
        <v>14.75</v>
      </c>
      <c r="C30">
        <v>4814.5</v>
      </c>
      <c r="D30" s="18">
        <f t="shared" si="13"/>
        <v>326.40677966101697</v>
      </c>
      <c r="E30" s="16">
        <v>16</v>
      </c>
      <c r="F30">
        <f t="shared" si="14"/>
        <v>13</v>
      </c>
      <c r="G30">
        <v>0</v>
      </c>
      <c r="H30">
        <v>3</v>
      </c>
      <c r="I30">
        <v>0</v>
      </c>
      <c r="J30">
        <v>0</v>
      </c>
      <c r="K30">
        <v>0</v>
      </c>
      <c r="L30" s="8">
        <v>29563.98</v>
      </c>
      <c r="M30">
        <f t="shared" si="15"/>
        <v>26213.84</v>
      </c>
      <c r="N30">
        <v>0</v>
      </c>
      <c r="O30">
        <f>485.24+1110.02+1754.88</f>
        <v>3350.1400000000003</v>
      </c>
      <c r="P30">
        <v>0</v>
      </c>
      <c r="Q30">
        <v>0</v>
      </c>
      <c r="R30">
        <v>0</v>
      </c>
      <c r="S30" s="22">
        <f t="shared" si="16"/>
        <v>1.0847457627118644</v>
      </c>
      <c r="T30">
        <f t="shared" si="17"/>
        <v>3.3232942153910063E-3</v>
      </c>
      <c r="U30">
        <f t="shared" si="18"/>
        <v>4.9018589677017339E-2</v>
      </c>
      <c r="V30">
        <f t="shared" si="19"/>
        <v>2004.3376271186441</v>
      </c>
      <c r="W30">
        <f t="shared" si="20"/>
        <v>90.574037802471693</v>
      </c>
      <c r="X30" s="6">
        <f t="shared" si="21"/>
        <v>1847.74875</v>
      </c>
      <c r="Y30">
        <v>1465.41</v>
      </c>
      <c r="Z30">
        <v>0</v>
      </c>
      <c r="AA30">
        <f t="shared" si="22"/>
        <v>8.3082355384775153E-2</v>
      </c>
      <c r="AB30">
        <f t="shared" si="23"/>
        <v>19258</v>
      </c>
    </row>
    <row r="31" spans="1:28" x14ac:dyDescent="0.25">
      <c r="A31" t="s">
        <v>44</v>
      </c>
      <c r="B31">
        <v>7.5</v>
      </c>
      <c r="C31">
        <v>1805.5</v>
      </c>
      <c r="D31" s="18">
        <f t="shared" si="13"/>
        <v>240.73333333333332</v>
      </c>
      <c r="E31" s="16">
        <v>15</v>
      </c>
      <c r="F31">
        <f t="shared" si="14"/>
        <v>12</v>
      </c>
      <c r="G31">
        <v>2</v>
      </c>
      <c r="H31">
        <v>1</v>
      </c>
      <c r="I31">
        <v>0</v>
      </c>
      <c r="J31">
        <v>0</v>
      </c>
      <c r="K31">
        <v>0</v>
      </c>
      <c r="L31" s="8">
        <v>115017.60000000001</v>
      </c>
      <c r="M31">
        <f t="shared" si="15"/>
        <v>111397.6</v>
      </c>
      <c r="N31">
        <f>261.82+2254.88</f>
        <v>2516.7000000000003</v>
      </c>
      <c r="O31">
        <v>1103.3</v>
      </c>
      <c r="P31">
        <v>0</v>
      </c>
      <c r="Q31">
        <v>0</v>
      </c>
      <c r="R31">
        <v>0</v>
      </c>
      <c r="S31" s="22">
        <f t="shared" si="16"/>
        <v>2</v>
      </c>
      <c r="T31">
        <f t="shared" si="17"/>
        <v>8.3079479368595964E-3</v>
      </c>
      <c r="U31">
        <f t="shared" si="18"/>
        <v>6.2309609526446971E-2</v>
      </c>
      <c r="V31">
        <f t="shared" si="19"/>
        <v>15335.68</v>
      </c>
      <c r="W31">
        <f t="shared" si="20"/>
        <v>477.78011631127117</v>
      </c>
      <c r="X31" s="6">
        <f t="shared" si="21"/>
        <v>7667.84</v>
      </c>
      <c r="Y31">
        <v>8706.58</v>
      </c>
      <c r="Z31">
        <v>0</v>
      </c>
      <c r="AA31">
        <f t="shared" si="22"/>
        <v>0.20769869842148991</v>
      </c>
      <c r="AB31">
        <f t="shared" si="23"/>
        <v>7222</v>
      </c>
    </row>
    <row r="32" spans="1:28" x14ac:dyDescent="0.25">
      <c r="A32" t="s">
        <v>41</v>
      </c>
      <c r="B32">
        <v>17</v>
      </c>
      <c r="C32">
        <v>5548.25</v>
      </c>
      <c r="D32" s="18">
        <f t="shared" si="13"/>
        <v>326.36764705882354</v>
      </c>
      <c r="E32" s="16">
        <v>13</v>
      </c>
      <c r="F32">
        <f t="shared" si="14"/>
        <v>10</v>
      </c>
      <c r="G32">
        <v>0</v>
      </c>
      <c r="H32">
        <v>2</v>
      </c>
      <c r="I32">
        <v>0</v>
      </c>
      <c r="J32">
        <v>0</v>
      </c>
      <c r="K32">
        <v>1</v>
      </c>
      <c r="L32" s="8">
        <v>41281.230000000003</v>
      </c>
      <c r="M32">
        <f t="shared" si="15"/>
        <v>37384.83</v>
      </c>
      <c r="N32">
        <f>3323.5+269.6</f>
        <v>3593.1</v>
      </c>
      <c r="O32">
        <v>0</v>
      </c>
      <c r="P32">
        <v>0</v>
      </c>
      <c r="Q32">
        <v>0</v>
      </c>
      <c r="R32">
        <v>303.3</v>
      </c>
      <c r="S32" s="22">
        <f t="shared" si="16"/>
        <v>0.76470588235294112</v>
      </c>
      <c r="T32">
        <f t="shared" si="17"/>
        <v>2.3430811517145046E-3</v>
      </c>
      <c r="U32">
        <f t="shared" si="18"/>
        <v>3.9832379579146579E-2</v>
      </c>
      <c r="V32">
        <f t="shared" si="19"/>
        <v>2428.3076470588239</v>
      </c>
      <c r="W32">
        <f t="shared" si="20"/>
        <v>126.4868940656964</v>
      </c>
      <c r="X32" s="6">
        <f t="shared" si="21"/>
        <v>3175.479230769231</v>
      </c>
      <c r="Y32">
        <v>3903.74</v>
      </c>
      <c r="Z32">
        <v>2</v>
      </c>
      <c r="AA32">
        <f t="shared" si="22"/>
        <v>5.8577028792862612E-2</v>
      </c>
      <c r="AB32">
        <f t="shared" si="23"/>
        <v>22193</v>
      </c>
    </row>
    <row r="33" spans="1:28" x14ac:dyDescent="0.25">
      <c r="A33" t="s">
        <v>70</v>
      </c>
      <c r="B33">
        <f>(30+29+27+27)/4</f>
        <v>28.25</v>
      </c>
      <c r="C33">
        <v>12702.8</v>
      </c>
      <c r="D33" s="18">
        <f t="shared" si="13"/>
        <v>449.65663716814157</v>
      </c>
      <c r="E33" s="16">
        <v>13</v>
      </c>
      <c r="F33">
        <f t="shared" si="14"/>
        <v>8</v>
      </c>
      <c r="G33">
        <v>0</v>
      </c>
      <c r="H33">
        <v>2</v>
      </c>
      <c r="I33">
        <v>0</v>
      </c>
      <c r="J33">
        <v>0</v>
      </c>
      <c r="K33">
        <f>2+1</f>
        <v>3</v>
      </c>
      <c r="L33" s="8">
        <v>34892.29</v>
      </c>
      <c r="M33">
        <f t="shared" si="15"/>
        <v>26813.16</v>
      </c>
      <c r="N33">
        <v>0</v>
      </c>
      <c r="O33">
        <f>2627.44+3392.73</f>
        <v>6020.17</v>
      </c>
      <c r="P33">
        <v>0</v>
      </c>
      <c r="Q33">
        <v>0</v>
      </c>
      <c r="R33">
        <f>1265.92+569.58+223.46</f>
        <v>2058.96</v>
      </c>
      <c r="S33" s="22">
        <f t="shared" si="16"/>
        <v>0.46017699115044247</v>
      </c>
      <c r="T33">
        <f t="shared" si="17"/>
        <v>1.0233964165380861E-3</v>
      </c>
      <c r="U33">
        <f t="shared" si="18"/>
        <v>2.8910948767200934E-2</v>
      </c>
      <c r="V33">
        <f t="shared" si="19"/>
        <v>1235.1253097345134</v>
      </c>
      <c r="W33">
        <f t="shared" si="20"/>
        <v>77.597631427716735</v>
      </c>
      <c r="X33" s="6">
        <f t="shared" si="21"/>
        <v>2684.0223076923075</v>
      </c>
      <c r="Y33">
        <v>2151.11</v>
      </c>
      <c r="Z33">
        <v>1</v>
      </c>
      <c r="AA33">
        <f t="shared" si="22"/>
        <v>2.5584910413452153E-2</v>
      </c>
      <c r="AB33">
        <f t="shared" si="23"/>
        <v>50811.199999999997</v>
      </c>
    </row>
    <row r="34" spans="1:28" x14ac:dyDescent="0.25">
      <c r="A34" t="s">
        <v>56</v>
      </c>
      <c r="B34">
        <f>(12+13+13+13)/4</f>
        <v>12.75</v>
      </c>
      <c r="C34">
        <v>5229</v>
      </c>
      <c r="D34" s="18">
        <f t="shared" si="13"/>
        <v>410.11764705882354</v>
      </c>
      <c r="E34" s="16">
        <v>12</v>
      </c>
      <c r="F34">
        <f t="shared" si="14"/>
        <v>9</v>
      </c>
      <c r="G34">
        <v>0</v>
      </c>
      <c r="H34">
        <v>1</v>
      </c>
      <c r="I34">
        <v>0</v>
      </c>
      <c r="J34">
        <v>0</v>
      </c>
      <c r="K34">
        <v>2</v>
      </c>
      <c r="L34" s="8">
        <v>38791.24</v>
      </c>
      <c r="M34">
        <f t="shared" si="15"/>
        <v>30737.94</v>
      </c>
      <c r="N34">
        <v>0</v>
      </c>
      <c r="O34">
        <v>2323.5</v>
      </c>
      <c r="P34">
        <v>0</v>
      </c>
      <c r="Q34">
        <v>0</v>
      </c>
      <c r="R34">
        <f>1331.12+4398.68</f>
        <v>5729.8</v>
      </c>
      <c r="S34" s="22">
        <f t="shared" si="16"/>
        <v>0.94117647058823528</v>
      </c>
      <c r="T34">
        <f t="shared" si="17"/>
        <v>2.2948938611589212E-3</v>
      </c>
      <c r="U34">
        <f t="shared" si="18"/>
        <v>2.9259896729776247E-2</v>
      </c>
      <c r="V34">
        <f t="shared" si="19"/>
        <v>3042.4501960784314</v>
      </c>
      <c r="W34">
        <f t="shared" si="20"/>
        <v>94.585639701663794</v>
      </c>
      <c r="X34" s="6">
        <f t="shared" si="21"/>
        <v>3232.603333333333</v>
      </c>
      <c r="Y34">
        <v>2537.63</v>
      </c>
      <c r="Z34">
        <v>0</v>
      </c>
      <c r="AA34">
        <f t="shared" si="22"/>
        <v>5.737234652897303E-2</v>
      </c>
      <c r="AB34">
        <f t="shared" si="23"/>
        <v>20916</v>
      </c>
    </row>
    <row r="35" spans="1:28" x14ac:dyDescent="0.25">
      <c r="A35" t="s">
        <v>24</v>
      </c>
      <c r="B35">
        <v>19.75</v>
      </c>
      <c r="C35">
        <v>5842.75</v>
      </c>
      <c r="D35" s="18">
        <f t="shared" si="13"/>
        <v>295.8354430379747</v>
      </c>
      <c r="E35" s="16">
        <v>10</v>
      </c>
      <c r="F35">
        <v>7</v>
      </c>
      <c r="G35">
        <v>1</v>
      </c>
      <c r="H35">
        <v>0</v>
      </c>
      <c r="I35">
        <v>0</v>
      </c>
      <c r="J35">
        <v>2</v>
      </c>
      <c r="K35">
        <v>0</v>
      </c>
      <c r="L35" s="8">
        <v>28176.36</v>
      </c>
      <c r="M35">
        <f t="shared" si="15"/>
        <v>23319.53</v>
      </c>
      <c r="N35">
        <v>1553.52</v>
      </c>
      <c r="O35">
        <v>0</v>
      </c>
      <c r="P35">
        <v>0</v>
      </c>
      <c r="Q35">
        <f>1303.31+2000</f>
        <v>3303.31</v>
      </c>
      <c r="R35">
        <v>0</v>
      </c>
      <c r="S35" s="22">
        <f t="shared" si="16"/>
        <v>0.50632911392405067</v>
      </c>
      <c r="T35">
        <f t="shared" si="17"/>
        <v>1.7115228274357109E-3</v>
      </c>
      <c r="U35">
        <f t="shared" si="18"/>
        <v>3.3802575841855288E-2</v>
      </c>
      <c r="V35">
        <f t="shared" si="19"/>
        <v>1426.6511392405064</v>
      </c>
      <c r="W35">
        <f t="shared" si="20"/>
        <v>95.243354584741766</v>
      </c>
      <c r="X35" s="6">
        <f t="shared" si="21"/>
        <v>2817.636</v>
      </c>
      <c r="Y35">
        <v>1763.05</v>
      </c>
      <c r="Z35">
        <v>0</v>
      </c>
      <c r="AA35">
        <f t="shared" si="22"/>
        <v>4.2788070685892771E-2</v>
      </c>
      <c r="AB35">
        <f t="shared" si="23"/>
        <v>23371</v>
      </c>
    </row>
    <row r="36" spans="1:28" x14ac:dyDescent="0.25">
      <c r="A36" t="s">
        <v>38</v>
      </c>
      <c r="B36">
        <f>(17+17+17+14)/4</f>
        <v>16.25</v>
      </c>
      <c r="C36">
        <v>6453.25</v>
      </c>
      <c r="D36" s="18">
        <f t="shared" si="13"/>
        <v>397.12307692307695</v>
      </c>
      <c r="E36" s="16">
        <v>9</v>
      </c>
      <c r="F36">
        <f t="shared" ref="F36:F68" si="24">E36-SUM(G36:K36)</f>
        <v>6</v>
      </c>
      <c r="G36">
        <v>0</v>
      </c>
      <c r="H36">
        <v>2</v>
      </c>
      <c r="I36">
        <v>0</v>
      </c>
      <c r="J36">
        <v>0</v>
      </c>
      <c r="K36">
        <v>1</v>
      </c>
      <c r="L36" s="8">
        <v>14231.71</v>
      </c>
      <c r="M36">
        <f t="shared" si="15"/>
        <v>10926.279999999999</v>
      </c>
      <c r="N36">
        <v>0</v>
      </c>
      <c r="O36">
        <f>331.13+1485.24</f>
        <v>1816.37</v>
      </c>
      <c r="P36">
        <v>0</v>
      </c>
      <c r="Q36">
        <v>0</v>
      </c>
      <c r="R36">
        <v>1489.06</v>
      </c>
      <c r="S36" s="22">
        <f t="shared" si="16"/>
        <v>0.55384615384615388</v>
      </c>
      <c r="T36">
        <f t="shared" si="17"/>
        <v>1.3946461085499555E-3</v>
      </c>
      <c r="U36">
        <f t="shared" si="18"/>
        <v>2.2662999263936775E-2</v>
      </c>
      <c r="V36">
        <f t="shared" si="19"/>
        <v>875.79753846153835</v>
      </c>
      <c r="W36">
        <f t="shared" si="20"/>
        <v>35.837025917173513</v>
      </c>
      <c r="X36" s="6">
        <f t="shared" si="21"/>
        <v>1581.3011111111109</v>
      </c>
      <c r="Y36">
        <v>933.21</v>
      </c>
      <c r="Z36">
        <v>0</v>
      </c>
      <c r="AA36">
        <f t="shared" si="22"/>
        <v>3.4866152713748891E-2</v>
      </c>
      <c r="AB36">
        <f t="shared" si="23"/>
        <v>25813</v>
      </c>
    </row>
    <row r="37" spans="1:28" x14ac:dyDescent="0.25">
      <c r="A37" t="s">
        <v>47</v>
      </c>
      <c r="B37">
        <f>(9+9+8+6)/4</f>
        <v>8</v>
      </c>
      <c r="C37">
        <v>2267.5</v>
      </c>
      <c r="D37" s="18">
        <f t="shared" si="13"/>
        <v>283.4375</v>
      </c>
      <c r="E37" s="16">
        <v>9</v>
      </c>
      <c r="F37">
        <f t="shared" si="24"/>
        <v>8</v>
      </c>
      <c r="G37">
        <v>0</v>
      </c>
      <c r="H37">
        <v>0</v>
      </c>
      <c r="I37">
        <v>0</v>
      </c>
      <c r="J37">
        <v>1</v>
      </c>
      <c r="K37">
        <v>0</v>
      </c>
      <c r="L37" s="8">
        <v>29917.66</v>
      </c>
      <c r="M37">
        <f t="shared" si="15"/>
        <v>26667.37</v>
      </c>
      <c r="N37">
        <v>0</v>
      </c>
      <c r="O37">
        <v>0</v>
      </c>
      <c r="P37">
        <v>0</v>
      </c>
      <c r="Q37">
        <v>3250.29</v>
      </c>
      <c r="R37">
        <v>0</v>
      </c>
      <c r="S37" s="22">
        <f t="shared" si="16"/>
        <v>1.125</v>
      </c>
      <c r="T37">
        <f t="shared" si="17"/>
        <v>3.9691289966923924E-3</v>
      </c>
      <c r="U37">
        <f t="shared" si="18"/>
        <v>3.1753031973539139E-2</v>
      </c>
      <c r="V37">
        <f t="shared" si="19"/>
        <v>3739.7075</v>
      </c>
      <c r="W37">
        <f t="shared" si="20"/>
        <v>105.55293495038589</v>
      </c>
      <c r="X37" s="6">
        <f t="shared" si="21"/>
        <v>3324.1844444444446</v>
      </c>
      <c r="Y37">
        <v>1710.35</v>
      </c>
      <c r="Z37">
        <v>0</v>
      </c>
      <c r="AA37">
        <f t="shared" si="22"/>
        <v>9.9228224917309815E-2</v>
      </c>
      <c r="AB37">
        <f t="shared" si="23"/>
        <v>9070</v>
      </c>
    </row>
    <row r="38" spans="1:28" x14ac:dyDescent="0.25">
      <c r="A38" t="s">
        <v>54</v>
      </c>
      <c r="B38">
        <v>7.75</v>
      </c>
      <c r="C38">
        <v>2989.25</v>
      </c>
      <c r="D38" s="18">
        <f t="shared" si="13"/>
        <v>385.70967741935482</v>
      </c>
      <c r="E38" s="16">
        <v>9</v>
      </c>
      <c r="F38">
        <f t="shared" si="24"/>
        <v>4</v>
      </c>
      <c r="G38">
        <v>2</v>
      </c>
      <c r="H38">
        <v>2</v>
      </c>
      <c r="I38">
        <v>0</v>
      </c>
      <c r="J38">
        <v>0</v>
      </c>
      <c r="K38">
        <v>1</v>
      </c>
      <c r="L38" s="8">
        <v>25252.21</v>
      </c>
      <c r="M38">
        <f t="shared" si="15"/>
        <v>12003.62</v>
      </c>
      <c r="N38">
        <f>606.33+2803.3</f>
        <v>3409.63</v>
      </c>
      <c r="O38">
        <f>8261.82+765.92</f>
        <v>9027.74</v>
      </c>
      <c r="P38">
        <v>0</v>
      </c>
      <c r="Q38">
        <v>0</v>
      </c>
      <c r="R38">
        <v>811.22</v>
      </c>
      <c r="S38" s="22">
        <f t="shared" si="16"/>
        <v>1.1612903225806452</v>
      </c>
      <c r="T38">
        <f t="shared" si="17"/>
        <v>3.0107886593627163E-3</v>
      </c>
      <c r="U38">
        <f t="shared" si="18"/>
        <v>2.3333612110061054E-2</v>
      </c>
      <c r="V38">
        <f t="shared" si="19"/>
        <v>3258.3496774193545</v>
      </c>
      <c r="W38">
        <f t="shared" si="20"/>
        <v>65.469474784644973</v>
      </c>
      <c r="X38" s="6">
        <f t="shared" si="21"/>
        <v>2805.8011111111109</v>
      </c>
      <c r="Y38">
        <v>2891.76</v>
      </c>
      <c r="Z38">
        <v>0</v>
      </c>
      <c r="AA38">
        <f t="shared" si="22"/>
        <v>7.5269716484067911E-2</v>
      </c>
      <c r="AB38">
        <f t="shared" si="23"/>
        <v>11957</v>
      </c>
    </row>
    <row r="39" spans="1:28" x14ac:dyDescent="0.25">
      <c r="A39" t="s">
        <v>64</v>
      </c>
      <c r="B39">
        <f>(25+25+26+27)/4</f>
        <v>25.75</v>
      </c>
      <c r="C39">
        <v>10264</v>
      </c>
      <c r="D39" s="18">
        <f t="shared" si="13"/>
        <v>398.60194174757282</v>
      </c>
      <c r="E39" s="16">
        <v>9</v>
      </c>
      <c r="F39">
        <f t="shared" si="24"/>
        <v>7</v>
      </c>
      <c r="G39">
        <v>0</v>
      </c>
      <c r="H39">
        <v>1</v>
      </c>
      <c r="I39">
        <v>0</v>
      </c>
      <c r="J39">
        <v>0</v>
      </c>
      <c r="K39">
        <v>1</v>
      </c>
      <c r="L39" s="8">
        <v>30933.08</v>
      </c>
      <c r="M39">
        <f t="shared" si="15"/>
        <v>26862.140000000003</v>
      </c>
      <c r="N39">
        <v>0</v>
      </c>
      <c r="O39">
        <v>2778.56</v>
      </c>
      <c r="P39">
        <v>0</v>
      </c>
      <c r="Q39">
        <v>0</v>
      </c>
      <c r="R39">
        <v>1292.3800000000001</v>
      </c>
      <c r="S39" s="22">
        <f t="shared" si="16"/>
        <v>0.34951456310679613</v>
      </c>
      <c r="T39">
        <f t="shared" si="17"/>
        <v>8.7685113016367888E-4</v>
      </c>
      <c r="U39">
        <f t="shared" si="18"/>
        <v>2.2578916601714731E-2</v>
      </c>
      <c r="V39">
        <f t="shared" si="19"/>
        <v>1201.2846601941749</v>
      </c>
      <c r="W39">
        <f t="shared" si="20"/>
        <v>77.603937061574442</v>
      </c>
      <c r="X39" s="6">
        <f t="shared" si="21"/>
        <v>3437.008888888889</v>
      </c>
      <c r="Y39">
        <v>3372.84</v>
      </c>
      <c r="Z39">
        <v>0</v>
      </c>
      <c r="AA39">
        <f t="shared" si="22"/>
        <v>2.1921278254091972E-2</v>
      </c>
      <c r="AB39">
        <f t="shared" si="23"/>
        <v>41056</v>
      </c>
    </row>
    <row r="40" spans="1:28" x14ac:dyDescent="0.25">
      <c r="A40" t="s">
        <v>46</v>
      </c>
      <c r="B40">
        <v>14.5</v>
      </c>
      <c r="C40">
        <v>5004</v>
      </c>
      <c r="D40" s="18">
        <f t="shared" si="13"/>
        <v>345.10344827586209</v>
      </c>
      <c r="E40" s="16">
        <v>8</v>
      </c>
      <c r="F40">
        <f t="shared" si="24"/>
        <v>5</v>
      </c>
      <c r="G40">
        <v>1</v>
      </c>
      <c r="H40">
        <v>1</v>
      </c>
      <c r="I40">
        <v>0</v>
      </c>
      <c r="J40">
        <v>1</v>
      </c>
      <c r="K40">
        <v>0</v>
      </c>
      <c r="L40" s="8">
        <v>25702.71</v>
      </c>
      <c r="M40">
        <f t="shared" si="15"/>
        <v>8339.86</v>
      </c>
      <c r="N40">
        <v>12948.83</v>
      </c>
      <c r="O40">
        <v>2438.5700000000002</v>
      </c>
      <c r="P40">
        <v>0</v>
      </c>
      <c r="Q40">
        <v>1975.45</v>
      </c>
      <c r="R40">
        <v>0</v>
      </c>
      <c r="S40" s="22">
        <f t="shared" si="16"/>
        <v>0.55172413793103448</v>
      </c>
      <c r="T40">
        <f t="shared" si="17"/>
        <v>1.5987210231814548E-3</v>
      </c>
      <c r="U40">
        <f t="shared" si="18"/>
        <v>2.3181454836131092E-2</v>
      </c>
      <c r="V40">
        <f t="shared" si="19"/>
        <v>1772.6006896551723</v>
      </c>
      <c r="W40">
        <f t="shared" si="20"/>
        <v>74.478276378896879</v>
      </c>
      <c r="X40" s="6">
        <f t="shared" si="21"/>
        <v>3212.8387499999999</v>
      </c>
      <c r="Y40">
        <v>4019.59</v>
      </c>
      <c r="Z40">
        <v>0</v>
      </c>
      <c r="AA40">
        <f t="shared" si="22"/>
        <v>3.9968025579536368E-2</v>
      </c>
      <c r="AB40">
        <f t="shared" si="23"/>
        <v>20016</v>
      </c>
    </row>
    <row r="41" spans="1:28" x14ac:dyDescent="0.25">
      <c r="A41" t="s">
        <v>61</v>
      </c>
      <c r="B41">
        <f>(6+6+6+5)/4</f>
        <v>5.75</v>
      </c>
      <c r="C41">
        <v>2205.75</v>
      </c>
      <c r="D41" s="18">
        <f t="shared" si="13"/>
        <v>383.60869565217394</v>
      </c>
      <c r="E41" s="16">
        <v>8</v>
      </c>
      <c r="F41">
        <f t="shared" si="24"/>
        <v>5</v>
      </c>
      <c r="G41">
        <v>0</v>
      </c>
      <c r="H41">
        <v>2</v>
      </c>
      <c r="I41">
        <v>0</v>
      </c>
      <c r="J41">
        <v>0</v>
      </c>
      <c r="K41">
        <v>1</v>
      </c>
      <c r="L41" s="8">
        <v>40121.1</v>
      </c>
      <c r="M41">
        <f t="shared" si="15"/>
        <v>34744.269999999997</v>
      </c>
      <c r="O41">
        <f>1338.57+314.8</f>
        <v>1653.37</v>
      </c>
      <c r="P41">
        <v>0</v>
      </c>
      <c r="Q41">
        <v>0</v>
      </c>
      <c r="R41">
        <v>3723.46</v>
      </c>
      <c r="S41" s="22">
        <f t="shared" si="16"/>
        <v>1.3913043478260869</v>
      </c>
      <c r="T41">
        <f t="shared" si="17"/>
        <v>3.6268842797234501E-3</v>
      </c>
      <c r="U41">
        <f t="shared" si="18"/>
        <v>2.0854584608409835E-2</v>
      </c>
      <c r="V41">
        <f t="shared" si="19"/>
        <v>6977.5826086956522</v>
      </c>
      <c r="W41">
        <f t="shared" si="20"/>
        <v>104.58860931655899</v>
      </c>
      <c r="X41" s="6">
        <f t="shared" si="21"/>
        <v>5015.1374999999998</v>
      </c>
      <c r="Y41">
        <v>7983.67</v>
      </c>
      <c r="Z41">
        <v>0</v>
      </c>
      <c r="AA41">
        <f t="shared" si="22"/>
        <v>9.0672106993086254E-2</v>
      </c>
      <c r="AB41">
        <f t="shared" si="23"/>
        <v>8823</v>
      </c>
    </row>
    <row r="42" spans="1:28" x14ac:dyDescent="0.25">
      <c r="A42" t="s">
        <v>27</v>
      </c>
      <c r="B42">
        <v>16.5</v>
      </c>
      <c r="C42">
        <v>5964.25</v>
      </c>
      <c r="D42" s="18">
        <f t="shared" si="13"/>
        <v>361.469696969697</v>
      </c>
      <c r="E42" s="16">
        <v>7</v>
      </c>
      <c r="F42">
        <f t="shared" si="24"/>
        <v>7</v>
      </c>
      <c r="G42">
        <v>0</v>
      </c>
      <c r="H42">
        <v>0</v>
      </c>
      <c r="I42">
        <v>0</v>
      </c>
      <c r="J42">
        <v>0</v>
      </c>
      <c r="K42">
        <v>0</v>
      </c>
      <c r="L42" s="8">
        <v>122077.8</v>
      </c>
      <c r="M42">
        <f t="shared" si="15"/>
        <v>122077.8</v>
      </c>
      <c r="N42">
        <v>0</v>
      </c>
      <c r="O42">
        <v>0</v>
      </c>
      <c r="P42">
        <v>0</v>
      </c>
      <c r="Q42">
        <v>0</v>
      </c>
      <c r="R42">
        <v>0</v>
      </c>
      <c r="S42" s="22">
        <f t="shared" si="16"/>
        <v>0.42424242424242425</v>
      </c>
      <c r="T42">
        <f t="shared" si="17"/>
        <v>1.1736597225133084E-3</v>
      </c>
      <c r="U42">
        <f t="shared" si="18"/>
        <v>1.9365385421469587E-2</v>
      </c>
      <c r="V42">
        <f t="shared" si="19"/>
        <v>7398.6545454545458</v>
      </c>
      <c r="W42">
        <f t="shared" si="20"/>
        <v>337.72623548644003</v>
      </c>
      <c r="X42" s="6">
        <f t="shared" si="21"/>
        <v>17439.685714285715</v>
      </c>
      <c r="Y42">
        <v>31447.78</v>
      </c>
      <c r="Z42">
        <v>0</v>
      </c>
      <c r="AA42">
        <f t="shared" si="22"/>
        <v>2.9341493062832708E-2</v>
      </c>
      <c r="AB42">
        <f t="shared" si="23"/>
        <v>23857</v>
      </c>
    </row>
    <row r="43" spans="1:28" x14ac:dyDescent="0.25">
      <c r="A43" t="s">
        <v>53</v>
      </c>
      <c r="B43">
        <f>(27+29+28+26)/4</f>
        <v>27.5</v>
      </c>
      <c r="C43">
        <v>9642.5</v>
      </c>
      <c r="D43" s="18">
        <f t="shared" si="13"/>
        <v>350.63636363636363</v>
      </c>
      <c r="E43" s="16">
        <v>7</v>
      </c>
      <c r="F43">
        <f t="shared" si="24"/>
        <v>5</v>
      </c>
      <c r="G43">
        <v>1</v>
      </c>
      <c r="H43">
        <v>0</v>
      </c>
      <c r="I43">
        <v>0</v>
      </c>
      <c r="J43">
        <v>0</v>
      </c>
      <c r="K43">
        <v>1</v>
      </c>
      <c r="L43" s="8">
        <v>21107.119999999999</v>
      </c>
      <c r="M43">
        <f t="shared" si="15"/>
        <v>15606.539999999999</v>
      </c>
      <c r="N43">
        <v>4254.88</v>
      </c>
      <c r="O43">
        <v>0</v>
      </c>
      <c r="P43">
        <v>0</v>
      </c>
      <c r="Q43">
        <v>0</v>
      </c>
      <c r="R43">
        <v>1245.7</v>
      </c>
      <c r="S43" s="22">
        <f t="shared" si="16"/>
        <v>0.25454545454545452</v>
      </c>
      <c r="T43">
        <f t="shared" si="17"/>
        <v>7.2595281306715059E-4</v>
      </c>
      <c r="U43">
        <f t="shared" si="18"/>
        <v>1.9963702359346643E-2</v>
      </c>
      <c r="V43">
        <f t="shared" si="19"/>
        <v>767.53163636363638</v>
      </c>
      <c r="W43">
        <f t="shared" si="20"/>
        <v>60.196608763287529</v>
      </c>
      <c r="X43" s="6">
        <f t="shared" si="21"/>
        <v>3015.3028571428572</v>
      </c>
      <c r="Y43">
        <v>2681.07</v>
      </c>
      <c r="Z43">
        <v>0</v>
      </c>
      <c r="AA43">
        <f t="shared" si="22"/>
        <v>1.8148820326678763E-2</v>
      </c>
      <c r="AB43">
        <f t="shared" si="23"/>
        <v>38570</v>
      </c>
    </row>
    <row r="44" spans="1:28" x14ac:dyDescent="0.25">
      <c r="A44" t="s">
        <v>77</v>
      </c>
      <c r="B44">
        <f>(15+13+15+16)/4</f>
        <v>14.75</v>
      </c>
      <c r="C44">
        <v>7317.5</v>
      </c>
      <c r="D44" s="18">
        <f t="shared" si="13"/>
        <v>496.10169491525426</v>
      </c>
      <c r="E44" s="16">
        <v>7</v>
      </c>
      <c r="F44">
        <f t="shared" si="24"/>
        <v>1</v>
      </c>
      <c r="G44">
        <v>0</v>
      </c>
      <c r="H44">
        <v>2</v>
      </c>
      <c r="I44">
        <v>0</v>
      </c>
      <c r="J44">
        <v>4</v>
      </c>
      <c r="K44">
        <v>0</v>
      </c>
      <c r="L44" s="8">
        <v>57482.16</v>
      </c>
      <c r="M44">
        <f t="shared" si="15"/>
        <v>2245.6999999999971</v>
      </c>
      <c r="O44">
        <f>3310.02+5261.82</f>
        <v>8571.84</v>
      </c>
      <c r="P44">
        <v>0</v>
      </c>
      <c r="Q44">
        <f>10829.92+8269.58+24261.82+3303.3</f>
        <v>46664.62</v>
      </c>
      <c r="R44">
        <v>0</v>
      </c>
      <c r="S44" s="22">
        <f t="shared" si="16"/>
        <v>0.47457627118644069</v>
      </c>
      <c r="T44">
        <f t="shared" si="17"/>
        <v>9.5661086436624534E-4</v>
      </c>
      <c r="U44">
        <f t="shared" si="18"/>
        <v>1.4110010249402118E-2</v>
      </c>
      <c r="V44">
        <f t="shared" si="19"/>
        <v>3897.0955932203392</v>
      </c>
      <c r="W44">
        <f t="shared" si="20"/>
        <v>115.86769525111035</v>
      </c>
      <c r="X44" s="6">
        <f t="shared" si="21"/>
        <v>8211.7371428571441</v>
      </c>
      <c r="Y44">
        <v>7712.31</v>
      </c>
      <c r="Z44">
        <v>0</v>
      </c>
      <c r="AA44">
        <f t="shared" si="22"/>
        <v>2.3915271609156134E-2</v>
      </c>
      <c r="AB44">
        <f t="shared" si="23"/>
        <v>29270</v>
      </c>
    </row>
    <row r="45" spans="1:28" x14ac:dyDescent="0.25">
      <c r="A45" t="s">
        <v>26</v>
      </c>
      <c r="B45">
        <f>(11+11+11+10)/4</f>
        <v>10.75</v>
      </c>
      <c r="C45">
        <v>3080.75</v>
      </c>
      <c r="D45" s="18">
        <f t="shared" si="13"/>
        <v>286.58139534883719</v>
      </c>
      <c r="E45" s="16">
        <v>6</v>
      </c>
      <c r="F45">
        <f t="shared" si="24"/>
        <v>5</v>
      </c>
      <c r="G45">
        <v>0</v>
      </c>
      <c r="H45">
        <v>0</v>
      </c>
      <c r="I45">
        <v>0</v>
      </c>
      <c r="J45">
        <v>1</v>
      </c>
      <c r="K45">
        <v>0</v>
      </c>
      <c r="L45" s="8">
        <v>42733.58</v>
      </c>
      <c r="M45">
        <f t="shared" si="15"/>
        <v>38226.01</v>
      </c>
      <c r="N45">
        <v>0</v>
      </c>
      <c r="O45">
        <v>0</v>
      </c>
      <c r="P45">
        <v>0</v>
      </c>
      <c r="Q45">
        <v>4507.57</v>
      </c>
      <c r="R45">
        <v>0</v>
      </c>
      <c r="S45" s="22">
        <f t="shared" si="16"/>
        <v>0.55813953488372092</v>
      </c>
      <c r="T45">
        <f t="shared" si="17"/>
        <v>1.9475777002353322E-3</v>
      </c>
      <c r="U45">
        <f t="shared" si="18"/>
        <v>2.0936460277529823E-2</v>
      </c>
      <c r="V45">
        <f t="shared" si="19"/>
        <v>3975.2167441860465</v>
      </c>
      <c r="W45">
        <f t="shared" si="20"/>
        <v>149.11498336444049</v>
      </c>
      <c r="X45" s="6">
        <f t="shared" si="21"/>
        <v>7122.2633333333333</v>
      </c>
      <c r="Y45">
        <v>9431.44</v>
      </c>
      <c r="Z45">
        <v>0</v>
      </c>
      <c r="AA45">
        <f t="shared" si="22"/>
        <v>4.8689442505883307E-2</v>
      </c>
      <c r="AB45">
        <f t="shared" si="23"/>
        <v>12323</v>
      </c>
    </row>
    <row r="46" spans="1:28" x14ac:dyDescent="0.25">
      <c r="A46" t="s">
        <v>31</v>
      </c>
      <c r="B46">
        <f>(11+10+11+9)/4</f>
        <v>10.25</v>
      </c>
      <c r="C46">
        <v>3438.25</v>
      </c>
      <c r="D46" s="18">
        <f t="shared" si="13"/>
        <v>335.4390243902439</v>
      </c>
      <c r="E46" s="16">
        <v>5</v>
      </c>
      <c r="F46">
        <f t="shared" si="24"/>
        <v>2</v>
      </c>
      <c r="G46">
        <v>1</v>
      </c>
      <c r="H46">
        <v>0</v>
      </c>
      <c r="I46">
        <v>0</v>
      </c>
      <c r="J46">
        <v>1</v>
      </c>
      <c r="K46">
        <v>1</v>
      </c>
      <c r="L46" s="8">
        <v>10832.33</v>
      </c>
      <c r="M46">
        <f t="shared" si="15"/>
        <v>5969.6900000000005</v>
      </c>
      <c r="N46">
        <v>1254.8800000000001</v>
      </c>
      <c r="O46">
        <v>0</v>
      </c>
      <c r="P46">
        <v>0</v>
      </c>
      <c r="Q46">
        <v>341.81</v>
      </c>
      <c r="R46">
        <v>3265.95</v>
      </c>
      <c r="S46" s="22">
        <f t="shared" si="16"/>
        <v>0.48780487804878048</v>
      </c>
      <c r="T46">
        <f t="shared" si="17"/>
        <v>1.4542281683996218E-3</v>
      </c>
      <c r="U46">
        <f t="shared" si="18"/>
        <v>1.4905838726096125E-2</v>
      </c>
      <c r="V46">
        <f t="shared" si="19"/>
        <v>1056.8126829268292</v>
      </c>
      <c r="W46">
        <f t="shared" si="20"/>
        <v>32.29299280157057</v>
      </c>
      <c r="X46" s="6">
        <f t="shared" si="21"/>
        <v>2166.4659999999999</v>
      </c>
      <c r="Y46">
        <v>1604.11</v>
      </c>
      <c r="Z46">
        <v>0</v>
      </c>
      <c r="AA46">
        <f t="shared" si="22"/>
        <v>3.6355704209990548E-2</v>
      </c>
      <c r="AB46">
        <f t="shared" si="23"/>
        <v>13753</v>
      </c>
    </row>
    <row r="47" spans="1:28" x14ac:dyDescent="0.25">
      <c r="A47" t="s">
        <v>34</v>
      </c>
      <c r="B47">
        <f>(13+12+12+13)/4</f>
        <v>12.5</v>
      </c>
      <c r="C47">
        <v>5884.25</v>
      </c>
      <c r="D47" s="18">
        <f t="shared" ref="D47:D68" si="25">C47/B47</f>
        <v>470.74</v>
      </c>
      <c r="E47" s="16">
        <v>5</v>
      </c>
      <c r="F47">
        <f t="shared" si="24"/>
        <v>4</v>
      </c>
      <c r="G47">
        <v>0</v>
      </c>
      <c r="H47">
        <v>0</v>
      </c>
      <c r="I47">
        <v>0</v>
      </c>
      <c r="J47">
        <v>0</v>
      </c>
      <c r="K47">
        <v>1</v>
      </c>
      <c r="L47" s="8">
        <v>20790.88</v>
      </c>
      <c r="M47">
        <f t="shared" ref="M47:M68" si="26">L47-SUM(N47:R47)</f>
        <v>18608.280000000002</v>
      </c>
      <c r="N47">
        <v>0</v>
      </c>
      <c r="O47">
        <v>0</v>
      </c>
      <c r="P47">
        <v>0</v>
      </c>
      <c r="Q47">
        <v>0</v>
      </c>
      <c r="R47">
        <v>2182.6</v>
      </c>
      <c r="S47" s="22">
        <f t="shared" ref="S47:S68" si="27">E47/B47</f>
        <v>0.4</v>
      </c>
      <c r="T47">
        <f t="shared" ref="T47:T68" si="28">E47/C47</f>
        <v>8.4972596337681101E-4</v>
      </c>
      <c r="U47">
        <f t="shared" ref="U47:U68" si="29">E47/D47</f>
        <v>1.0621574542210138E-2</v>
      </c>
      <c r="V47">
        <f t="shared" ref="V47:V68" si="30">L47/B47</f>
        <v>1663.2704000000001</v>
      </c>
      <c r="W47">
        <f t="shared" ref="W47:W68" si="31">L47/D47</f>
        <v>44.166376343629182</v>
      </c>
      <c r="X47" s="6">
        <f t="shared" ref="X47:X67" si="32">L47/E47</f>
        <v>4158.1760000000004</v>
      </c>
      <c r="Y47">
        <v>3482.63</v>
      </c>
      <c r="Z47">
        <v>0</v>
      </c>
      <c r="AA47">
        <f t="shared" ref="AA47:AA68" si="33">(E47/(C47*4))*100</f>
        <v>2.1243149084420276E-2</v>
      </c>
      <c r="AB47">
        <f t="shared" ref="AB47:AB68" si="34">C47*4</f>
        <v>23537</v>
      </c>
    </row>
    <row r="48" spans="1:28" x14ac:dyDescent="0.25">
      <c r="A48" t="s">
        <v>37</v>
      </c>
      <c r="B48">
        <v>8</v>
      </c>
      <c r="C48">
        <v>2775.5</v>
      </c>
      <c r="D48" s="18">
        <f t="shared" si="25"/>
        <v>346.9375</v>
      </c>
      <c r="E48" s="16">
        <v>5</v>
      </c>
      <c r="F48">
        <f t="shared" si="24"/>
        <v>2</v>
      </c>
      <c r="G48">
        <v>1</v>
      </c>
      <c r="H48">
        <v>0</v>
      </c>
      <c r="I48">
        <v>0</v>
      </c>
      <c r="J48">
        <v>0</v>
      </c>
      <c r="K48">
        <v>2</v>
      </c>
      <c r="L48" s="8">
        <v>10075.24</v>
      </c>
      <c r="M48">
        <f t="shared" si="26"/>
        <v>6990.36</v>
      </c>
      <c r="N48">
        <v>2245.6999999999998</v>
      </c>
      <c r="O48">
        <v>0</v>
      </c>
      <c r="P48">
        <v>0</v>
      </c>
      <c r="Q48">
        <v>0</v>
      </c>
      <c r="R48">
        <f>569.6+269.58</f>
        <v>839.18000000000006</v>
      </c>
      <c r="S48" s="22">
        <f t="shared" si="27"/>
        <v>0.625</v>
      </c>
      <c r="T48">
        <f t="shared" si="28"/>
        <v>1.8014772113132769E-3</v>
      </c>
      <c r="U48">
        <f t="shared" si="29"/>
        <v>1.4411817690506215E-2</v>
      </c>
      <c r="V48">
        <f t="shared" si="30"/>
        <v>1259.405</v>
      </c>
      <c r="W48">
        <f t="shared" si="31"/>
        <v>29.040504413619168</v>
      </c>
      <c r="X48" s="6">
        <f t="shared" si="32"/>
        <v>2015.048</v>
      </c>
      <c r="Y48">
        <v>1789.22</v>
      </c>
      <c r="Z48">
        <v>0</v>
      </c>
      <c r="AA48">
        <f t="shared" si="33"/>
        <v>4.503693028283192E-2</v>
      </c>
      <c r="AB48">
        <f t="shared" si="34"/>
        <v>11102</v>
      </c>
    </row>
    <row r="49" spans="1:28" x14ac:dyDescent="0.25">
      <c r="A49" t="s">
        <v>33</v>
      </c>
      <c r="B49">
        <f>(4+5+4+5)/4</f>
        <v>4.5</v>
      </c>
      <c r="C49">
        <v>1599.25</v>
      </c>
      <c r="D49" s="18">
        <f t="shared" si="25"/>
        <v>355.38888888888891</v>
      </c>
      <c r="E49" s="16">
        <v>4</v>
      </c>
      <c r="F49">
        <f t="shared" si="24"/>
        <v>1</v>
      </c>
      <c r="G49">
        <v>0</v>
      </c>
      <c r="H49">
        <v>0</v>
      </c>
      <c r="I49">
        <v>0</v>
      </c>
      <c r="J49">
        <v>0</v>
      </c>
      <c r="K49">
        <v>3</v>
      </c>
      <c r="L49" s="8">
        <v>6796.51</v>
      </c>
      <c r="M49">
        <f t="shared" si="26"/>
        <v>1896.6099999999997</v>
      </c>
      <c r="N49">
        <v>0</v>
      </c>
      <c r="O49">
        <v>0</v>
      </c>
      <c r="P49">
        <v>0</v>
      </c>
      <c r="Q49">
        <v>0</v>
      </c>
      <c r="R49">
        <f>L49-1896.61</f>
        <v>4899.9000000000005</v>
      </c>
      <c r="S49" s="22">
        <f t="shared" si="27"/>
        <v>0.88888888888888884</v>
      </c>
      <c r="T49">
        <f t="shared" si="28"/>
        <v>2.501172424574019E-3</v>
      </c>
      <c r="U49">
        <f t="shared" si="29"/>
        <v>1.1255275910583085E-2</v>
      </c>
      <c r="V49">
        <f t="shared" si="30"/>
        <v>1510.3355555555556</v>
      </c>
      <c r="W49">
        <f t="shared" si="31"/>
        <v>19.124148819759263</v>
      </c>
      <c r="X49" s="6">
        <f t="shared" si="32"/>
        <v>1699.1275000000001</v>
      </c>
      <c r="Y49">
        <v>902.97</v>
      </c>
      <c r="Z49">
        <v>0</v>
      </c>
      <c r="AA49">
        <f t="shared" si="33"/>
        <v>6.2529310614350478E-2</v>
      </c>
      <c r="AB49">
        <f t="shared" si="34"/>
        <v>6397</v>
      </c>
    </row>
    <row r="50" spans="1:28" x14ac:dyDescent="0.25">
      <c r="A50" t="s">
        <v>39</v>
      </c>
      <c r="B50">
        <f>(17+18+17+15)/4</f>
        <v>16.75</v>
      </c>
      <c r="C50">
        <v>7071.5</v>
      </c>
      <c r="D50" s="18">
        <f t="shared" si="25"/>
        <v>422.17910447761193</v>
      </c>
      <c r="E50" s="16">
        <v>4</v>
      </c>
      <c r="F50">
        <f t="shared" si="24"/>
        <v>4</v>
      </c>
      <c r="G50">
        <v>0</v>
      </c>
      <c r="H50">
        <v>0</v>
      </c>
      <c r="I50">
        <v>0</v>
      </c>
      <c r="J50">
        <v>0</v>
      </c>
      <c r="K50">
        <v>0</v>
      </c>
      <c r="L50" s="8">
        <v>24218.31</v>
      </c>
      <c r="M50">
        <f t="shared" si="26"/>
        <v>24218.31</v>
      </c>
      <c r="N50">
        <v>0</v>
      </c>
      <c r="O50">
        <v>0</v>
      </c>
      <c r="P50">
        <v>0</v>
      </c>
      <c r="Q50">
        <v>0</v>
      </c>
      <c r="R50">
        <v>0</v>
      </c>
      <c r="S50" s="22">
        <f t="shared" si="27"/>
        <v>0.23880597014925373</v>
      </c>
      <c r="T50">
        <f t="shared" si="28"/>
        <v>5.6565085201159583E-4</v>
      </c>
      <c r="U50">
        <f t="shared" si="29"/>
        <v>9.4746517711942306E-3</v>
      </c>
      <c r="V50">
        <f t="shared" si="30"/>
        <v>1445.8692537313434</v>
      </c>
      <c r="W50">
        <f t="shared" si="31"/>
        <v>57.365013434207739</v>
      </c>
      <c r="X50" s="6">
        <f t="shared" si="32"/>
        <v>6054.5775000000003</v>
      </c>
      <c r="Y50">
        <v>6443.25</v>
      </c>
      <c r="Z50">
        <v>0</v>
      </c>
      <c r="AA50">
        <f t="shared" si="33"/>
        <v>1.4141271300289896E-2</v>
      </c>
      <c r="AB50">
        <f t="shared" si="34"/>
        <v>28286</v>
      </c>
    </row>
    <row r="51" spans="1:28" x14ac:dyDescent="0.25">
      <c r="A51" t="s">
        <v>45</v>
      </c>
      <c r="B51">
        <v>10</v>
      </c>
      <c r="C51">
        <v>3164.5</v>
      </c>
      <c r="D51" s="18">
        <f t="shared" si="25"/>
        <v>316.45</v>
      </c>
      <c r="E51" s="16">
        <v>4</v>
      </c>
      <c r="F51">
        <f t="shared" si="24"/>
        <v>0</v>
      </c>
      <c r="G51">
        <v>2</v>
      </c>
      <c r="H51">
        <v>1</v>
      </c>
      <c r="I51">
        <v>0</v>
      </c>
      <c r="J51">
        <v>0</v>
      </c>
      <c r="K51">
        <v>1</v>
      </c>
      <c r="L51" s="8">
        <v>7004.27</v>
      </c>
      <c r="M51">
        <f t="shared" si="26"/>
        <v>0</v>
      </c>
      <c r="N51">
        <f>3231.8+2245.7</f>
        <v>5477.5</v>
      </c>
      <c r="O51">
        <v>1303.31</v>
      </c>
      <c r="P51">
        <v>0</v>
      </c>
      <c r="Q51">
        <v>0</v>
      </c>
      <c r="R51">
        <v>223.46</v>
      </c>
      <c r="S51" s="22">
        <f t="shared" si="27"/>
        <v>0.4</v>
      </c>
      <c r="T51">
        <f t="shared" si="28"/>
        <v>1.2640227524095434E-3</v>
      </c>
      <c r="U51">
        <f t="shared" si="29"/>
        <v>1.2640227524095434E-2</v>
      </c>
      <c r="V51">
        <f t="shared" si="30"/>
        <v>700.42700000000002</v>
      </c>
      <c r="W51">
        <f t="shared" si="31"/>
        <v>22.133891610048984</v>
      </c>
      <c r="X51" s="6">
        <f t="shared" si="32"/>
        <v>1751.0675000000001</v>
      </c>
      <c r="Y51">
        <v>964.33</v>
      </c>
      <c r="Z51">
        <v>1</v>
      </c>
      <c r="AA51">
        <f t="shared" si="33"/>
        <v>3.1600568810238587E-2</v>
      </c>
      <c r="AB51">
        <f t="shared" si="34"/>
        <v>12658</v>
      </c>
    </row>
    <row r="52" spans="1:28" x14ac:dyDescent="0.25">
      <c r="A52" t="s">
        <v>55</v>
      </c>
      <c r="B52">
        <f>(15+16+17+17)/4</f>
        <v>16.25</v>
      </c>
      <c r="C52">
        <v>6359.75</v>
      </c>
      <c r="D52" s="18">
        <f t="shared" si="25"/>
        <v>391.3692307692308</v>
      </c>
      <c r="E52" s="16">
        <v>4</v>
      </c>
      <c r="F52">
        <f t="shared" si="24"/>
        <v>3</v>
      </c>
      <c r="G52">
        <v>1</v>
      </c>
      <c r="H52">
        <v>0</v>
      </c>
      <c r="I52">
        <v>0</v>
      </c>
      <c r="J52">
        <v>0</v>
      </c>
      <c r="K52">
        <v>0</v>
      </c>
      <c r="L52" s="8">
        <v>8584.85</v>
      </c>
      <c r="M52">
        <f t="shared" si="26"/>
        <v>6329.97</v>
      </c>
      <c r="N52">
        <v>2254.88</v>
      </c>
      <c r="O52">
        <v>0</v>
      </c>
      <c r="P52">
        <v>0</v>
      </c>
      <c r="Q52">
        <v>0</v>
      </c>
      <c r="R52">
        <v>0</v>
      </c>
      <c r="S52" s="22">
        <f t="shared" si="27"/>
        <v>0.24615384615384617</v>
      </c>
      <c r="T52">
        <f t="shared" si="28"/>
        <v>6.2895554070521644E-4</v>
      </c>
      <c r="U52">
        <f t="shared" si="29"/>
        <v>1.0220527536459766E-2</v>
      </c>
      <c r="V52">
        <f t="shared" si="30"/>
        <v>528.29846153846154</v>
      </c>
      <c r="W52">
        <f t="shared" si="31"/>
        <v>21.935423955344156</v>
      </c>
      <c r="X52" s="6">
        <f t="shared" si="32"/>
        <v>2146.2125000000001</v>
      </c>
      <c r="Y52">
        <v>810.75</v>
      </c>
      <c r="Z52">
        <v>0</v>
      </c>
      <c r="AA52">
        <f t="shared" si="33"/>
        <v>1.5723888517630413E-2</v>
      </c>
      <c r="AB52">
        <f t="shared" si="34"/>
        <v>25439</v>
      </c>
    </row>
    <row r="53" spans="1:28" x14ac:dyDescent="0.25">
      <c r="A53" t="s">
        <v>72</v>
      </c>
      <c r="B53">
        <f>(14+14+15+14)/4</f>
        <v>14.25</v>
      </c>
      <c r="C53">
        <v>5527.5</v>
      </c>
      <c r="D53" s="18">
        <f t="shared" si="25"/>
        <v>387.89473684210526</v>
      </c>
      <c r="E53" s="16">
        <v>4</v>
      </c>
      <c r="F53">
        <f t="shared" si="24"/>
        <v>1</v>
      </c>
      <c r="G53">
        <v>1</v>
      </c>
      <c r="H53">
        <v>0</v>
      </c>
      <c r="I53">
        <v>0</v>
      </c>
      <c r="J53">
        <v>1</v>
      </c>
      <c r="K53">
        <v>1</v>
      </c>
      <c r="L53" s="8">
        <v>10485.44</v>
      </c>
      <c r="M53">
        <f t="shared" si="26"/>
        <v>3750.29</v>
      </c>
      <c r="N53">
        <v>2234.5700000000002</v>
      </c>
      <c r="O53">
        <v>0</v>
      </c>
      <c r="P53">
        <v>0</v>
      </c>
      <c r="Q53">
        <v>3745.7</v>
      </c>
      <c r="R53">
        <v>754.88</v>
      </c>
      <c r="S53" s="22">
        <f t="shared" si="27"/>
        <v>0.2807017543859649</v>
      </c>
      <c r="T53">
        <f t="shared" si="28"/>
        <v>7.236544549977386E-4</v>
      </c>
      <c r="U53">
        <f t="shared" si="29"/>
        <v>1.0312075983717774E-2</v>
      </c>
      <c r="V53">
        <f t="shared" si="30"/>
        <v>735.82035087719305</v>
      </c>
      <c r="W53">
        <f t="shared" si="31"/>
        <v>27.031663500678427</v>
      </c>
      <c r="X53" s="6">
        <f t="shared" si="32"/>
        <v>2621.36</v>
      </c>
      <c r="Y53">
        <v>1434.34</v>
      </c>
      <c r="Z53">
        <v>0</v>
      </c>
      <c r="AA53">
        <f t="shared" si="33"/>
        <v>1.8091361374943465E-2</v>
      </c>
      <c r="AB53">
        <f t="shared" si="34"/>
        <v>22110</v>
      </c>
    </row>
    <row r="54" spans="1:28" x14ac:dyDescent="0.25">
      <c r="A54" t="s">
        <v>42</v>
      </c>
      <c r="B54">
        <f>(15+15+14+14)/4</f>
        <v>14.5</v>
      </c>
      <c r="C54">
        <v>5007.75</v>
      </c>
      <c r="D54" s="18">
        <f t="shared" si="25"/>
        <v>345.36206896551727</v>
      </c>
      <c r="E54" s="16">
        <v>3</v>
      </c>
      <c r="F54">
        <f t="shared" si="24"/>
        <v>1</v>
      </c>
      <c r="G54">
        <v>0</v>
      </c>
      <c r="H54">
        <v>0</v>
      </c>
      <c r="I54">
        <v>0</v>
      </c>
      <c r="J54">
        <v>2</v>
      </c>
      <c r="K54">
        <v>0</v>
      </c>
      <c r="L54" s="8">
        <v>8392.73</v>
      </c>
      <c r="M54">
        <f t="shared" si="26"/>
        <v>2823.5</v>
      </c>
      <c r="N54">
        <v>0</v>
      </c>
      <c r="O54">
        <v>0</v>
      </c>
      <c r="P54">
        <v>0</v>
      </c>
      <c r="Q54">
        <f>L54-2823.5</f>
        <v>5569.23</v>
      </c>
      <c r="R54">
        <v>0</v>
      </c>
      <c r="S54" s="22">
        <f t="shared" si="27"/>
        <v>0.20689655172413793</v>
      </c>
      <c r="T54">
        <f t="shared" si="28"/>
        <v>5.9907143926913285E-4</v>
      </c>
      <c r="U54">
        <f t="shared" si="29"/>
        <v>8.6865358694024255E-3</v>
      </c>
      <c r="V54">
        <f t="shared" si="30"/>
        <v>578.8089655172414</v>
      </c>
      <c r="W54">
        <f t="shared" si="31"/>
        <v>24.301250062403273</v>
      </c>
      <c r="X54" s="6">
        <f t="shared" si="32"/>
        <v>2797.5766666666664</v>
      </c>
      <c r="Y54">
        <v>481.83</v>
      </c>
      <c r="Z54">
        <v>0</v>
      </c>
      <c r="AA54">
        <f t="shared" si="33"/>
        <v>1.4976785981728321E-2</v>
      </c>
      <c r="AB54">
        <f t="shared" si="34"/>
        <v>20031</v>
      </c>
    </row>
    <row r="55" spans="1:28" x14ac:dyDescent="0.25">
      <c r="A55" t="s">
        <v>48</v>
      </c>
      <c r="B55">
        <f>(10+10+11+12)/4</f>
        <v>10.75</v>
      </c>
      <c r="C55">
        <v>3912.25</v>
      </c>
      <c r="D55" s="18">
        <f t="shared" si="25"/>
        <v>363.93023255813955</v>
      </c>
      <c r="E55" s="16">
        <v>3</v>
      </c>
      <c r="F55">
        <f t="shared" si="24"/>
        <v>2</v>
      </c>
      <c r="G55">
        <v>0</v>
      </c>
      <c r="H55">
        <v>1</v>
      </c>
      <c r="I55">
        <v>0</v>
      </c>
      <c r="J55">
        <v>0</v>
      </c>
      <c r="K55">
        <v>0</v>
      </c>
      <c r="L55" s="8">
        <v>16611.310000000001</v>
      </c>
      <c r="M55">
        <f t="shared" si="26"/>
        <v>13356.43</v>
      </c>
      <c r="N55">
        <v>0</v>
      </c>
      <c r="O55">
        <v>3254.88</v>
      </c>
      <c r="P55">
        <v>0</v>
      </c>
      <c r="Q55">
        <v>0</v>
      </c>
      <c r="R55">
        <v>0</v>
      </c>
      <c r="S55" s="22">
        <f t="shared" si="27"/>
        <v>0.27906976744186046</v>
      </c>
      <c r="T55">
        <f t="shared" si="28"/>
        <v>7.6682216116045749E-4</v>
      </c>
      <c r="U55">
        <f t="shared" si="29"/>
        <v>8.2433382324749189E-3</v>
      </c>
      <c r="V55">
        <f t="shared" si="30"/>
        <v>1545.2381395348839</v>
      </c>
      <c r="W55">
        <f t="shared" si="31"/>
        <v>45.644215604830983</v>
      </c>
      <c r="X55" s="6">
        <f t="shared" si="32"/>
        <v>5537.1033333333335</v>
      </c>
      <c r="Y55">
        <v>4705.8500000000004</v>
      </c>
      <c r="Z55">
        <v>0</v>
      </c>
      <c r="AA55">
        <f t="shared" si="33"/>
        <v>1.9170554029011438E-2</v>
      </c>
      <c r="AB55">
        <f t="shared" si="34"/>
        <v>15649</v>
      </c>
    </row>
    <row r="56" spans="1:28" x14ac:dyDescent="0.25">
      <c r="A56" t="s">
        <v>67</v>
      </c>
      <c r="B56">
        <f>(15+15+16+15)/4</f>
        <v>15.25</v>
      </c>
      <c r="C56">
        <v>4916.75</v>
      </c>
      <c r="D56" s="18">
        <f t="shared" si="25"/>
        <v>322.40983606557376</v>
      </c>
      <c r="E56" s="16">
        <v>3</v>
      </c>
      <c r="F56">
        <f t="shared" si="24"/>
        <v>2</v>
      </c>
      <c r="G56">
        <v>0</v>
      </c>
      <c r="H56">
        <v>0</v>
      </c>
      <c r="I56">
        <v>0</v>
      </c>
      <c r="J56">
        <v>0</v>
      </c>
      <c r="K56">
        <v>1</v>
      </c>
      <c r="L56" s="8">
        <v>10223.700000000001</v>
      </c>
      <c r="M56">
        <f t="shared" si="26"/>
        <v>3454.6400000000003</v>
      </c>
      <c r="N56">
        <v>0</v>
      </c>
      <c r="O56">
        <v>0</v>
      </c>
      <c r="P56">
        <v>0</v>
      </c>
      <c r="Q56">
        <v>0</v>
      </c>
      <c r="R56">
        <v>6769.06</v>
      </c>
      <c r="S56" s="22">
        <f t="shared" si="27"/>
        <v>0.19672131147540983</v>
      </c>
      <c r="T56">
        <f t="shared" si="28"/>
        <v>6.1015914984491792E-4</v>
      </c>
      <c r="U56">
        <f t="shared" si="29"/>
        <v>9.3049270351349984E-3</v>
      </c>
      <c r="V56">
        <f t="shared" si="30"/>
        <v>670.40655737704924</v>
      </c>
      <c r="W56">
        <f t="shared" si="31"/>
        <v>31.710260843036561</v>
      </c>
      <c r="X56" s="6">
        <f t="shared" si="32"/>
        <v>3407.9</v>
      </c>
      <c r="Y56">
        <v>2960.93</v>
      </c>
      <c r="Z56">
        <v>0</v>
      </c>
      <c r="AA56">
        <f t="shared" si="33"/>
        <v>1.5253978746122948E-2</v>
      </c>
      <c r="AB56">
        <f t="shared" si="34"/>
        <v>19667</v>
      </c>
    </row>
    <row r="57" spans="1:28" x14ac:dyDescent="0.25">
      <c r="A57" t="s">
        <v>71</v>
      </c>
      <c r="B57">
        <f>(15+15+15+17)/4</f>
        <v>15.5</v>
      </c>
      <c r="C57">
        <v>4728.75</v>
      </c>
      <c r="D57" s="18">
        <f t="shared" si="25"/>
        <v>305.08064516129031</v>
      </c>
      <c r="E57" s="16">
        <v>3</v>
      </c>
      <c r="F57">
        <f t="shared" si="24"/>
        <v>3</v>
      </c>
      <c r="G57">
        <v>0</v>
      </c>
      <c r="H57">
        <v>0</v>
      </c>
      <c r="I57">
        <v>0</v>
      </c>
      <c r="J57">
        <v>0</v>
      </c>
      <c r="K57">
        <v>0</v>
      </c>
      <c r="L57" s="8">
        <v>9036.36</v>
      </c>
      <c r="M57">
        <f t="shared" si="26"/>
        <v>9036.36</v>
      </c>
      <c r="N57">
        <v>0</v>
      </c>
      <c r="O57">
        <v>0</v>
      </c>
      <c r="P57">
        <v>0</v>
      </c>
      <c r="Q57">
        <v>0</v>
      </c>
      <c r="R57">
        <v>0</v>
      </c>
      <c r="S57" s="22">
        <f t="shared" si="27"/>
        <v>0.19354838709677419</v>
      </c>
      <c r="T57">
        <f t="shared" si="28"/>
        <v>6.3441712926249011E-4</v>
      </c>
      <c r="U57">
        <f t="shared" si="29"/>
        <v>9.8334655035685961E-3</v>
      </c>
      <c r="V57">
        <f t="shared" si="30"/>
        <v>582.99096774193549</v>
      </c>
      <c r="W57">
        <f t="shared" si="31"/>
        <v>29.619578112609044</v>
      </c>
      <c r="X57" s="6">
        <f t="shared" si="32"/>
        <v>3012.1200000000003</v>
      </c>
      <c r="Y57">
        <v>272.95</v>
      </c>
      <c r="Z57">
        <v>0</v>
      </c>
      <c r="AA57">
        <f t="shared" si="33"/>
        <v>1.5860428231562251E-2</v>
      </c>
      <c r="AB57">
        <f t="shared" si="34"/>
        <v>18915</v>
      </c>
    </row>
    <row r="58" spans="1:28" x14ac:dyDescent="0.25">
      <c r="A58" t="s">
        <v>29</v>
      </c>
      <c r="B58">
        <f>(5+6+7+6)/4</f>
        <v>6</v>
      </c>
      <c r="C58">
        <v>2701.75</v>
      </c>
      <c r="D58" s="18">
        <f t="shared" si="25"/>
        <v>450.29166666666669</v>
      </c>
      <c r="E58" s="16">
        <v>2</v>
      </c>
      <c r="F58">
        <f t="shared" si="24"/>
        <v>2</v>
      </c>
      <c r="G58">
        <v>0</v>
      </c>
      <c r="H58">
        <v>0</v>
      </c>
      <c r="I58">
        <v>0</v>
      </c>
      <c r="J58">
        <v>0</v>
      </c>
      <c r="K58">
        <v>0</v>
      </c>
      <c r="L58" s="8">
        <f>1803.31+1263.53</f>
        <v>3066.84</v>
      </c>
      <c r="M58">
        <f t="shared" si="26"/>
        <v>3066.84</v>
      </c>
      <c r="N58">
        <v>0</v>
      </c>
      <c r="O58">
        <v>0</v>
      </c>
      <c r="P58">
        <v>0</v>
      </c>
      <c r="Q58">
        <v>0</v>
      </c>
      <c r="R58">
        <v>0</v>
      </c>
      <c r="S58" s="22">
        <f t="shared" si="27"/>
        <v>0.33333333333333331</v>
      </c>
      <c r="T58">
        <f t="shared" si="28"/>
        <v>7.4026094198204864E-4</v>
      </c>
      <c r="U58">
        <f t="shared" si="29"/>
        <v>4.4415656518922916E-3</v>
      </c>
      <c r="V58">
        <f t="shared" si="30"/>
        <v>511.14000000000004</v>
      </c>
      <c r="W58">
        <f t="shared" si="31"/>
        <v>6.8107856019246782</v>
      </c>
      <c r="X58" s="6">
        <f t="shared" si="32"/>
        <v>1533.42</v>
      </c>
      <c r="Y58">
        <v>1047.3599999999999</v>
      </c>
      <c r="Z58">
        <v>0</v>
      </c>
      <c r="AA58">
        <f t="shared" si="33"/>
        <v>1.8506523549551217E-2</v>
      </c>
      <c r="AB58">
        <f t="shared" si="34"/>
        <v>10807</v>
      </c>
    </row>
    <row r="59" spans="1:28" x14ac:dyDescent="0.25">
      <c r="A59" t="s">
        <v>36</v>
      </c>
      <c r="B59">
        <f>(10+10+11+12)/4</f>
        <v>10.75</v>
      </c>
      <c r="C59">
        <v>4250.25</v>
      </c>
      <c r="D59" s="18">
        <f t="shared" si="25"/>
        <v>395.37209302325579</v>
      </c>
      <c r="E59" s="16">
        <v>2</v>
      </c>
      <c r="F59">
        <f t="shared" si="24"/>
        <v>0</v>
      </c>
      <c r="G59">
        <v>1</v>
      </c>
      <c r="H59">
        <v>0</v>
      </c>
      <c r="I59">
        <v>0</v>
      </c>
      <c r="J59">
        <v>0</v>
      </c>
      <c r="K59">
        <v>1</v>
      </c>
      <c r="L59" s="8">
        <f>110.98+3814.18</f>
        <v>3925.16</v>
      </c>
      <c r="M59">
        <f t="shared" si="26"/>
        <v>0</v>
      </c>
      <c r="N59">
        <v>3814.18</v>
      </c>
      <c r="O59">
        <v>0</v>
      </c>
      <c r="P59">
        <v>0</v>
      </c>
      <c r="Q59">
        <v>0</v>
      </c>
      <c r="R59">
        <v>110.98</v>
      </c>
      <c r="S59" s="22">
        <f t="shared" si="27"/>
        <v>0.18604651162790697</v>
      </c>
      <c r="T59">
        <f t="shared" si="28"/>
        <v>4.7056055526145522E-4</v>
      </c>
      <c r="U59">
        <f t="shared" si="29"/>
        <v>5.0585259690606437E-3</v>
      </c>
      <c r="V59">
        <f t="shared" si="30"/>
        <v>365.13116279069766</v>
      </c>
      <c r="W59">
        <f t="shared" si="31"/>
        <v>9.9277618963590388</v>
      </c>
      <c r="X59" s="6">
        <f t="shared" si="32"/>
        <v>1962.58</v>
      </c>
      <c r="Y59">
        <v>0</v>
      </c>
      <c r="Z59">
        <v>1</v>
      </c>
      <c r="AA59">
        <f t="shared" si="33"/>
        <v>1.1764013881536381E-2</v>
      </c>
      <c r="AB59">
        <f t="shared" si="34"/>
        <v>17001</v>
      </c>
    </row>
    <row r="60" spans="1:28" x14ac:dyDescent="0.25">
      <c r="A60" t="s">
        <v>30</v>
      </c>
      <c r="B60">
        <f>(5+5+6+6)/4</f>
        <v>5.5</v>
      </c>
      <c r="C60">
        <v>1747.25</v>
      </c>
      <c r="D60" s="18">
        <f t="shared" si="25"/>
        <v>317.68181818181819</v>
      </c>
      <c r="E60" s="16">
        <v>1</v>
      </c>
      <c r="F60">
        <f t="shared" si="24"/>
        <v>1</v>
      </c>
      <c r="G60">
        <v>0</v>
      </c>
      <c r="H60">
        <v>0</v>
      </c>
      <c r="I60">
        <v>0</v>
      </c>
      <c r="J60">
        <v>0</v>
      </c>
      <c r="K60">
        <v>0</v>
      </c>
      <c r="L60" s="8">
        <v>1723.46</v>
      </c>
      <c r="M60">
        <f t="shared" si="26"/>
        <v>1723.46</v>
      </c>
      <c r="N60">
        <v>0</v>
      </c>
      <c r="O60">
        <v>0</v>
      </c>
      <c r="P60">
        <v>0</v>
      </c>
      <c r="Q60">
        <v>0</v>
      </c>
      <c r="R60">
        <v>0</v>
      </c>
      <c r="S60" s="22">
        <f t="shared" si="27"/>
        <v>0.18181818181818182</v>
      </c>
      <c r="T60">
        <f t="shared" si="28"/>
        <v>5.7232794391186151E-4</v>
      </c>
      <c r="U60">
        <f t="shared" si="29"/>
        <v>3.1478036915152381E-3</v>
      </c>
      <c r="V60">
        <f t="shared" si="30"/>
        <v>313.35636363636365</v>
      </c>
      <c r="W60">
        <f t="shared" si="31"/>
        <v>5.4251137501788529</v>
      </c>
      <c r="X60" s="6">
        <f t="shared" si="32"/>
        <v>1723.46</v>
      </c>
      <c r="Y60">
        <v>0</v>
      </c>
      <c r="Z60">
        <v>0</v>
      </c>
      <c r="AA60">
        <f t="shared" si="33"/>
        <v>1.4308198597796537E-2</v>
      </c>
      <c r="AB60">
        <f t="shared" si="34"/>
        <v>6989</v>
      </c>
    </row>
    <row r="61" spans="1:28" x14ac:dyDescent="0.25">
      <c r="A61" t="s">
        <v>35</v>
      </c>
      <c r="B61">
        <v>8.25</v>
      </c>
      <c r="C61">
        <v>2816.75</v>
      </c>
      <c r="D61" s="18">
        <f t="shared" si="25"/>
        <v>341.42424242424244</v>
      </c>
      <c r="E61" s="16">
        <v>1</v>
      </c>
      <c r="F61">
        <f t="shared" si="24"/>
        <v>0</v>
      </c>
      <c r="G61">
        <v>0</v>
      </c>
      <c r="H61">
        <v>0</v>
      </c>
      <c r="I61">
        <v>0</v>
      </c>
      <c r="J61">
        <v>0</v>
      </c>
      <c r="K61">
        <v>1</v>
      </c>
      <c r="L61" s="8">
        <v>1305.8599999999999</v>
      </c>
      <c r="M61">
        <f t="shared" si="26"/>
        <v>0</v>
      </c>
      <c r="N61">
        <v>0</v>
      </c>
      <c r="O61">
        <v>0</v>
      </c>
      <c r="P61">
        <v>0</v>
      </c>
      <c r="Q61">
        <v>0</v>
      </c>
      <c r="R61">
        <v>1305.8599999999999</v>
      </c>
      <c r="S61" s="22">
        <f t="shared" si="27"/>
        <v>0.12121212121212122</v>
      </c>
      <c r="T61">
        <f t="shared" si="28"/>
        <v>3.5501908227567232E-4</v>
      </c>
      <c r="U61">
        <f t="shared" si="29"/>
        <v>2.9289074287742966E-3</v>
      </c>
      <c r="V61">
        <f t="shared" si="30"/>
        <v>158.2860606060606</v>
      </c>
      <c r="W61">
        <f t="shared" si="31"/>
        <v>3.8247430549392027</v>
      </c>
      <c r="X61" s="6">
        <f t="shared" si="32"/>
        <v>1305.8599999999999</v>
      </c>
      <c r="Y61">
        <v>0</v>
      </c>
      <c r="Z61">
        <v>0</v>
      </c>
      <c r="AA61">
        <f t="shared" si="33"/>
        <v>8.8754770568918086E-3</v>
      </c>
      <c r="AB61">
        <f t="shared" si="34"/>
        <v>11267</v>
      </c>
    </row>
    <row r="62" spans="1:28" x14ac:dyDescent="0.25">
      <c r="A62" t="s">
        <v>40</v>
      </c>
      <c r="B62">
        <v>9.5</v>
      </c>
      <c r="C62">
        <v>3531.5</v>
      </c>
      <c r="D62" s="18">
        <f t="shared" si="25"/>
        <v>371.73684210526318</v>
      </c>
      <c r="E62" s="16">
        <v>1</v>
      </c>
      <c r="F62">
        <f t="shared" si="24"/>
        <v>0</v>
      </c>
      <c r="G62">
        <v>1</v>
      </c>
      <c r="H62">
        <v>0</v>
      </c>
      <c r="I62">
        <v>0</v>
      </c>
      <c r="J62">
        <v>0</v>
      </c>
      <c r="K62">
        <v>0</v>
      </c>
      <c r="L62" s="8">
        <v>3803.3</v>
      </c>
      <c r="M62">
        <f t="shared" si="26"/>
        <v>0</v>
      </c>
      <c r="N62">
        <v>3803.3</v>
      </c>
      <c r="O62">
        <v>0</v>
      </c>
      <c r="P62">
        <v>0</v>
      </c>
      <c r="Q62">
        <v>0</v>
      </c>
      <c r="R62">
        <v>0</v>
      </c>
      <c r="S62" s="22">
        <f t="shared" si="27"/>
        <v>0.10526315789473684</v>
      </c>
      <c r="T62">
        <f t="shared" si="28"/>
        <v>2.8316579357213649E-4</v>
      </c>
      <c r="U62">
        <f t="shared" si="29"/>
        <v>2.6900750389352965E-3</v>
      </c>
      <c r="V62">
        <f t="shared" si="30"/>
        <v>400.34736842105264</v>
      </c>
      <c r="W62">
        <f t="shared" si="31"/>
        <v>10.231162395582613</v>
      </c>
      <c r="X62" s="6">
        <f t="shared" si="32"/>
        <v>3803.3</v>
      </c>
      <c r="Y62">
        <v>0</v>
      </c>
      <c r="Z62">
        <v>0</v>
      </c>
      <c r="AA62">
        <f t="shared" si="33"/>
        <v>7.0791448393034122E-3</v>
      </c>
      <c r="AB62">
        <f t="shared" si="34"/>
        <v>14126</v>
      </c>
    </row>
    <row r="63" spans="1:28" x14ac:dyDescent="0.25">
      <c r="A63" t="s">
        <v>43</v>
      </c>
      <c r="B63">
        <f>(8+10+10+7)/4</f>
        <v>8.75</v>
      </c>
      <c r="C63">
        <v>3057</v>
      </c>
      <c r="D63" s="18">
        <f t="shared" si="25"/>
        <v>349.37142857142857</v>
      </c>
      <c r="E63" s="16">
        <v>1</v>
      </c>
      <c r="F63">
        <f t="shared" si="24"/>
        <v>1</v>
      </c>
      <c r="G63">
        <v>0</v>
      </c>
      <c r="H63">
        <v>0</v>
      </c>
      <c r="I63">
        <v>0</v>
      </c>
      <c r="J63">
        <v>0</v>
      </c>
      <c r="K63">
        <v>0</v>
      </c>
      <c r="L63" s="8">
        <v>1318.84</v>
      </c>
      <c r="M63">
        <f t="shared" si="26"/>
        <v>1318.84</v>
      </c>
      <c r="N63">
        <v>0</v>
      </c>
      <c r="O63">
        <v>0</v>
      </c>
      <c r="P63">
        <v>0</v>
      </c>
      <c r="Q63">
        <v>0</v>
      </c>
      <c r="R63">
        <v>0</v>
      </c>
      <c r="S63" s="22">
        <f t="shared" si="27"/>
        <v>0.11428571428571428</v>
      </c>
      <c r="T63">
        <f t="shared" si="28"/>
        <v>3.2711808963035657E-4</v>
      </c>
      <c r="U63">
        <f t="shared" si="29"/>
        <v>2.8622832842656199E-3</v>
      </c>
      <c r="V63">
        <f t="shared" si="30"/>
        <v>150.72457142857141</v>
      </c>
      <c r="W63">
        <f t="shared" si="31"/>
        <v>3.77489368662087</v>
      </c>
      <c r="X63" s="6">
        <f t="shared" si="32"/>
        <v>1318.84</v>
      </c>
      <c r="Y63">
        <v>0</v>
      </c>
      <c r="Z63">
        <v>0</v>
      </c>
      <c r="AA63">
        <f t="shared" si="33"/>
        <v>8.177952240758915E-3</v>
      </c>
      <c r="AB63">
        <f t="shared" si="34"/>
        <v>12228</v>
      </c>
    </row>
    <row r="64" spans="1:28" x14ac:dyDescent="0.25">
      <c r="A64" t="s">
        <v>52</v>
      </c>
      <c r="B64">
        <f>(7+6+6+7)/4</f>
        <v>6.5</v>
      </c>
      <c r="C64">
        <v>2204</v>
      </c>
      <c r="D64" s="18">
        <f t="shared" si="25"/>
        <v>339.07692307692309</v>
      </c>
      <c r="E64" s="16">
        <v>1</v>
      </c>
      <c r="F64">
        <f t="shared" si="24"/>
        <v>1</v>
      </c>
      <c r="G64">
        <v>0</v>
      </c>
      <c r="H64">
        <v>0</v>
      </c>
      <c r="I64">
        <v>0</v>
      </c>
      <c r="J64">
        <v>0</v>
      </c>
      <c r="K64">
        <v>0</v>
      </c>
      <c r="L64" s="8">
        <v>1303.3</v>
      </c>
      <c r="M64">
        <f t="shared" si="26"/>
        <v>1303.3</v>
      </c>
      <c r="N64">
        <v>0</v>
      </c>
      <c r="O64">
        <v>0</v>
      </c>
      <c r="P64">
        <v>0</v>
      </c>
      <c r="Q64">
        <v>0</v>
      </c>
      <c r="R64">
        <v>0</v>
      </c>
      <c r="S64" s="22">
        <f t="shared" si="27"/>
        <v>0.15384615384615385</v>
      </c>
      <c r="T64">
        <f t="shared" si="28"/>
        <v>4.5372050816696913E-4</v>
      </c>
      <c r="U64">
        <f t="shared" si="29"/>
        <v>2.9491833030852992E-3</v>
      </c>
      <c r="V64">
        <f t="shared" si="30"/>
        <v>200.50769230769231</v>
      </c>
      <c r="W64">
        <f t="shared" si="31"/>
        <v>3.8436705989110704</v>
      </c>
      <c r="X64" s="6">
        <f t="shared" si="32"/>
        <v>1303.3</v>
      </c>
      <c r="Y64">
        <v>0</v>
      </c>
      <c r="Z64">
        <v>0</v>
      </c>
      <c r="AA64">
        <f t="shared" si="33"/>
        <v>1.1343012704174229E-2</v>
      </c>
      <c r="AB64">
        <f t="shared" si="34"/>
        <v>8816</v>
      </c>
    </row>
    <row r="65" spans="1:28" x14ac:dyDescent="0.25">
      <c r="A65" t="s">
        <v>66</v>
      </c>
      <c r="B65">
        <v>11</v>
      </c>
      <c r="C65">
        <v>3602</v>
      </c>
      <c r="D65" s="18">
        <f t="shared" si="25"/>
        <v>327.45454545454544</v>
      </c>
      <c r="E65" s="16">
        <v>1</v>
      </c>
      <c r="F65">
        <f t="shared" si="24"/>
        <v>0</v>
      </c>
      <c r="G65">
        <v>1</v>
      </c>
      <c r="H65">
        <v>0</v>
      </c>
      <c r="I65">
        <v>0</v>
      </c>
      <c r="J65">
        <v>0</v>
      </c>
      <c r="K65">
        <v>0</v>
      </c>
      <c r="L65" s="8">
        <v>462.95</v>
      </c>
      <c r="M65">
        <f t="shared" si="26"/>
        <v>0</v>
      </c>
      <c r="N65">
        <v>462.95</v>
      </c>
      <c r="O65">
        <v>0</v>
      </c>
      <c r="P65">
        <v>0</v>
      </c>
      <c r="Q65">
        <v>0</v>
      </c>
      <c r="R65">
        <v>0</v>
      </c>
      <c r="S65" s="22">
        <f t="shared" si="27"/>
        <v>9.0909090909090912E-2</v>
      </c>
      <c r="T65">
        <f t="shared" si="28"/>
        <v>2.7762354247640202E-4</v>
      </c>
      <c r="U65">
        <f t="shared" si="29"/>
        <v>3.0538589672404223E-3</v>
      </c>
      <c r="V65">
        <f t="shared" si="30"/>
        <v>42.086363636363636</v>
      </c>
      <c r="W65">
        <f t="shared" si="31"/>
        <v>1.4137840088839535</v>
      </c>
      <c r="X65" s="6">
        <f t="shared" si="32"/>
        <v>462.95</v>
      </c>
      <c r="Y65">
        <v>0</v>
      </c>
      <c r="Z65">
        <v>0</v>
      </c>
      <c r="AA65">
        <f t="shared" si="33"/>
        <v>6.9405885619100507E-3</v>
      </c>
      <c r="AB65">
        <f t="shared" si="34"/>
        <v>14408</v>
      </c>
    </row>
    <row r="66" spans="1:28" x14ac:dyDescent="0.25">
      <c r="A66" t="s">
        <v>69</v>
      </c>
      <c r="B66">
        <f>(8+8+9+10)/4</f>
        <v>8.75</v>
      </c>
      <c r="C66">
        <v>3309.5</v>
      </c>
      <c r="D66" s="18">
        <f t="shared" si="25"/>
        <v>378.22857142857146</v>
      </c>
      <c r="E66" s="16">
        <v>1</v>
      </c>
      <c r="F66">
        <f t="shared" si="24"/>
        <v>1</v>
      </c>
      <c r="G66">
        <v>0</v>
      </c>
      <c r="H66">
        <v>0</v>
      </c>
      <c r="I66">
        <v>0</v>
      </c>
      <c r="J66">
        <v>0</v>
      </c>
      <c r="K66">
        <v>0</v>
      </c>
      <c r="L66" s="8">
        <v>3623.4</v>
      </c>
      <c r="M66">
        <f t="shared" si="26"/>
        <v>3623.4</v>
      </c>
      <c r="N66">
        <v>0</v>
      </c>
      <c r="O66">
        <v>0</v>
      </c>
      <c r="P66">
        <v>0</v>
      </c>
      <c r="Q66">
        <v>0</v>
      </c>
      <c r="R66">
        <v>0</v>
      </c>
      <c r="S66" s="22">
        <f t="shared" si="27"/>
        <v>0.11428571428571428</v>
      </c>
      <c r="T66">
        <f t="shared" si="28"/>
        <v>3.0216044719746184E-4</v>
      </c>
      <c r="U66">
        <f t="shared" si="29"/>
        <v>2.643903912977791E-3</v>
      </c>
      <c r="V66">
        <f t="shared" si="30"/>
        <v>414.10285714285715</v>
      </c>
      <c r="W66">
        <f t="shared" si="31"/>
        <v>9.5799214382837281</v>
      </c>
      <c r="X66" s="6">
        <f t="shared" si="32"/>
        <v>3623.4</v>
      </c>
      <c r="Y66">
        <v>0</v>
      </c>
      <c r="Z66">
        <v>0</v>
      </c>
      <c r="AA66">
        <f t="shared" si="33"/>
        <v>7.5540111799365459E-3</v>
      </c>
      <c r="AB66">
        <f t="shared" si="34"/>
        <v>13238</v>
      </c>
    </row>
    <row r="67" spans="1:28" x14ac:dyDescent="0.25">
      <c r="A67" t="s">
        <v>75</v>
      </c>
      <c r="B67">
        <f>(7+8+8+7)/4</f>
        <v>7.5</v>
      </c>
      <c r="C67">
        <v>2153.5</v>
      </c>
      <c r="D67" s="18">
        <f t="shared" si="25"/>
        <v>287.13333333333333</v>
      </c>
      <c r="E67" s="16">
        <v>1</v>
      </c>
      <c r="F67">
        <f t="shared" si="24"/>
        <v>0</v>
      </c>
      <c r="G67">
        <v>0</v>
      </c>
      <c r="H67">
        <v>0</v>
      </c>
      <c r="I67">
        <v>0</v>
      </c>
      <c r="J67">
        <v>0</v>
      </c>
      <c r="K67">
        <v>1</v>
      </c>
      <c r="L67" s="8">
        <v>1254.8800000000001</v>
      </c>
      <c r="M67">
        <f t="shared" si="26"/>
        <v>0</v>
      </c>
      <c r="N67">
        <v>0</v>
      </c>
      <c r="O67">
        <v>0</v>
      </c>
      <c r="P67">
        <v>0</v>
      </c>
      <c r="Q67">
        <v>0</v>
      </c>
      <c r="R67">
        <v>1254.8800000000001</v>
      </c>
      <c r="S67" s="22">
        <f t="shared" si="27"/>
        <v>0.13333333333333333</v>
      </c>
      <c r="T67">
        <f t="shared" si="28"/>
        <v>4.6436034362665429E-4</v>
      </c>
      <c r="U67">
        <f t="shared" si="29"/>
        <v>3.4827025771999071E-3</v>
      </c>
      <c r="V67">
        <f t="shared" si="30"/>
        <v>167.31733333333335</v>
      </c>
      <c r="W67">
        <f t="shared" si="31"/>
        <v>4.3703738100766198</v>
      </c>
      <c r="X67" s="6">
        <f t="shared" si="32"/>
        <v>1254.8800000000001</v>
      </c>
      <c r="Y67">
        <v>0</v>
      </c>
      <c r="Z67">
        <v>0</v>
      </c>
      <c r="AA67">
        <f t="shared" si="33"/>
        <v>1.1609008590666357E-2</v>
      </c>
      <c r="AB67">
        <f t="shared" si="34"/>
        <v>8614</v>
      </c>
    </row>
    <row r="68" spans="1:28" x14ac:dyDescent="0.25">
      <c r="A68" t="s">
        <v>68</v>
      </c>
      <c r="B68">
        <f>(9+10+11+10)/4</f>
        <v>10</v>
      </c>
      <c r="C68">
        <v>4416.75</v>
      </c>
      <c r="D68" s="18">
        <f t="shared" si="25"/>
        <v>441.67500000000001</v>
      </c>
      <c r="E68" s="16">
        <v>0</v>
      </c>
      <c r="F68">
        <f t="shared" si="24"/>
        <v>0</v>
      </c>
      <c r="G68">
        <v>0</v>
      </c>
      <c r="H68">
        <v>0</v>
      </c>
      <c r="I68">
        <v>0</v>
      </c>
      <c r="J68">
        <v>0</v>
      </c>
      <c r="K68">
        <v>0</v>
      </c>
      <c r="L68" s="8">
        <v>0</v>
      </c>
      <c r="M68">
        <f t="shared" si="26"/>
        <v>0</v>
      </c>
      <c r="N68">
        <v>0</v>
      </c>
      <c r="O68">
        <v>0</v>
      </c>
      <c r="P68">
        <v>0</v>
      </c>
      <c r="Q68">
        <v>0</v>
      </c>
      <c r="R68">
        <v>0</v>
      </c>
      <c r="S68" s="22">
        <f t="shared" si="27"/>
        <v>0</v>
      </c>
      <c r="T68">
        <f t="shared" si="28"/>
        <v>0</v>
      </c>
      <c r="U68">
        <f t="shared" si="29"/>
        <v>0</v>
      </c>
      <c r="V68">
        <f t="shared" si="30"/>
        <v>0</v>
      </c>
      <c r="W68">
        <f t="shared" si="31"/>
        <v>0</v>
      </c>
      <c r="X68" s="6">
        <v>0</v>
      </c>
      <c r="Y68">
        <v>0</v>
      </c>
      <c r="Z68">
        <v>0</v>
      </c>
      <c r="AA68">
        <f t="shared" si="33"/>
        <v>0</v>
      </c>
      <c r="AB68">
        <f t="shared" si="34"/>
        <v>17667</v>
      </c>
    </row>
    <row r="69" spans="1:28" x14ac:dyDescent="0.25">
      <c r="D69" s="19"/>
    </row>
    <row r="70" spans="1:28" s="12" customFormat="1" x14ac:dyDescent="0.25">
      <c r="A70" s="12" t="s">
        <v>89</v>
      </c>
      <c r="D70" s="20"/>
      <c r="E70" s="12">
        <f>SUM(E71:E72)</f>
        <v>343</v>
      </c>
      <c r="F70" s="12">
        <f t="shared" ref="F70:K70" si="35">SUM(F71:F72)</f>
        <v>172</v>
      </c>
      <c r="G70" s="12">
        <f t="shared" si="35"/>
        <v>19</v>
      </c>
      <c r="H70" s="12">
        <f t="shared" si="35"/>
        <v>88</v>
      </c>
      <c r="I70" s="12">
        <f t="shared" si="35"/>
        <v>57</v>
      </c>
      <c r="J70" s="12">
        <f t="shared" si="35"/>
        <v>0</v>
      </c>
      <c r="K70" s="12">
        <f t="shared" si="35"/>
        <v>7</v>
      </c>
      <c r="L70" s="12">
        <f>SUM(L71:L72)</f>
        <v>335710.91000000003</v>
      </c>
      <c r="M70" s="12">
        <f t="shared" ref="M70:R70" si="36">SUM(M71:M72)</f>
        <v>140014.94</v>
      </c>
      <c r="N70" s="12">
        <f t="shared" si="36"/>
        <v>32805.010000000009</v>
      </c>
      <c r="O70" s="12">
        <f t="shared" si="36"/>
        <v>124633.20999999999</v>
      </c>
      <c r="P70" s="12">
        <f t="shared" si="36"/>
        <v>27327.309999999998</v>
      </c>
      <c r="Q70" s="12">
        <f t="shared" si="36"/>
        <v>0</v>
      </c>
      <c r="R70" s="12">
        <f t="shared" si="36"/>
        <v>10930.439999999999</v>
      </c>
    </row>
    <row r="71" spans="1:28" x14ac:dyDescent="0.25">
      <c r="A71" t="s">
        <v>85</v>
      </c>
      <c r="E71">
        <f t="shared" ref="E71:R71" si="37">SUM(E4)</f>
        <v>137</v>
      </c>
      <c r="F71">
        <f t="shared" si="37"/>
        <v>34</v>
      </c>
      <c r="G71">
        <f t="shared" si="37"/>
        <v>6</v>
      </c>
      <c r="H71">
        <f t="shared" si="37"/>
        <v>47</v>
      </c>
      <c r="I71">
        <f t="shared" si="37"/>
        <v>47</v>
      </c>
      <c r="J71">
        <f t="shared" si="37"/>
        <v>0</v>
      </c>
      <c r="K71">
        <f t="shared" si="37"/>
        <v>3</v>
      </c>
      <c r="L71">
        <f t="shared" si="37"/>
        <v>63522.43</v>
      </c>
      <c r="M71">
        <f t="shared" si="37"/>
        <v>14824.210000000006</v>
      </c>
      <c r="N71">
        <f t="shared" si="37"/>
        <v>2019.3</v>
      </c>
      <c r="O71">
        <f t="shared" si="37"/>
        <v>22316.059999999998</v>
      </c>
      <c r="P71">
        <f t="shared" si="37"/>
        <v>20363.91</v>
      </c>
      <c r="Q71">
        <f t="shared" si="37"/>
        <v>0</v>
      </c>
      <c r="R71">
        <f t="shared" si="37"/>
        <v>3998.95</v>
      </c>
    </row>
    <row r="72" spans="1:28" x14ac:dyDescent="0.25">
      <c r="A72" t="s">
        <v>86</v>
      </c>
      <c r="E72">
        <f t="shared" ref="E72:R72" si="38">SUM(E6:E13)</f>
        <v>206</v>
      </c>
      <c r="F72">
        <f t="shared" si="38"/>
        <v>138</v>
      </c>
      <c r="G72">
        <f t="shared" si="38"/>
        <v>13</v>
      </c>
      <c r="H72">
        <f t="shared" si="38"/>
        <v>41</v>
      </c>
      <c r="I72">
        <f t="shared" si="38"/>
        <v>10</v>
      </c>
      <c r="J72">
        <f t="shared" si="38"/>
        <v>0</v>
      </c>
      <c r="K72">
        <f t="shared" si="38"/>
        <v>4</v>
      </c>
      <c r="L72">
        <f t="shared" si="38"/>
        <v>272188.48000000004</v>
      </c>
      <c r="M72">
        <f t="shared" si="38"/>
        <v>125190.73000000001</v>
      </c>
      <c r="N72">
        <f t="shared" si="38"/>
        <v>30785.710000000006</v>
      </c>
      <c r="O72">
        <f t="shared" si="38"/>
        <v>102317.15</v>
      </c>
      <c r="P72">
        <f t="shared" si="38"/>
        <v>6963.4</v>
      </c>
      <c r="Q72">
        <f t="shared" si="38"/>
        <v>0</v>
      </c>
      <c r="R72">
        <f t="shared" si="38"/>
        <v>6931.49</v>
      </c>
    </row>
    <row r="73" spans="1:28" x14ac:dyDescent="0.25">
      <c r="A73" t="s">
        <v>87</v>
      </c>
      <c r="E73">
        <f t="shared" ref="E73:R73" si="39">SUM(E15:E68)</f>
        <v>958</v>
      </c>
      <c r="F73">
        <f t="shared" si="39"/>
        <v>704</v>
      </c>
      <c r="G73">
        <f t="shared" si="39"/>
        <v>45</v>
      </c>
      <c r="H73">
        <f t="shared" si="39"/>
        <v>73</v>
      </c>
      <c r="I73">
        <f t="shared" si="39"/>
        <v>0</v>
      </c>
      <c r="J73">
        <f t="shared" si="39"/>
        <v>38</v>
      </c>
      <c r="K73">
        <f t="shared" si="39"/>
        <v>98</v>
      </c>
      <c r="L73">
        <f t="shared" si="39"/>
        <v>3772695.0199999996</v>
      </c>
      <c r="M73">
        <f t="shared" si="39"/>
        <v>3035867.1099999994</v>
      </c>
      <c r="N73">
        <f t="shared" si="39"/>
        <v>126810.38000000002</v>
      </c>
      <c r="O73">
        <f t="shared" si="39"/>
        <v>168070.76</v>
      </c>
      <c r="P73">
        <f t="shared" si="39"/>
        <v>0</v>
      </c>
      <c r="Q73">
        <f t="shared" si="39"/>
        <v>220853.19000000003</v>
      </c>
      <c r="R73">
        <f t="shared" si="39"/>
        <v>221093.57999999996</v>
      </c>
    </row>
    <row r="74" spans="1:28" s="10" customFormat="1" ht="15.75" x14ac:dyDescent="0.25">
      <c r="A74" s="10" t="s">
        <v>2</v>
      </c>
      <c r="E74" s="10">
        <f>SUM(E71:E73)</f>
        <v>1301</v>
      </c>
      <c r="F74" s="10">
        <f t="shared" ref="F74:R74" si="40">SUM(F71:F73)</f>
        <v>876</v>
      </c>
      <c r="G74" s="10">
        <f t="shared" si="40"/>
        <v>64</v>
      </c>
      <c r="H74" s="10">
        <f t="shared" si="40"/>
        <v>161</v>
      </c>
      <c r="I74" s="10">
        <f t="shared" si="40"/>
        <v>57</v>
      </c>
      <c r="J74" s="10">
        <f t="shared" si="40"/>
        <v>38</v>
      </c>
      <c r="K74" s="10">
        <f t="shared" si="40"/>
        <v>105</v>
      </c>
      <c r="L74" s="10">
        <f t="shared" si="40"/>
        <v>4108405.9299999997</v>
      </c>
      <c r="M74" s="10">
        <f t="shared" si="40"/>
        <v>3175882.0499999993</v>
      </c>
      <c r="N74" s="10">
        <f t="shared" si="40"/>
        <v>159615.39000000001</v>
      </c>
      <c r="O74" s="10">
        <f t="shared" si="40"/>
        <v>292703.96999999997</v>
      </c>
      <c r="P74" s="10">
        <f t="shared" si="40"/>
        <v>27327.309999999998</v>
      </c>
      <c r="Q74" s="10">
        <f t="shared" si="40"/>
        <v>220853.19000000003</v>
      </c>
      <c r="R74" s="10">
        <f t="shared" si="40"/>
        <v>232024.01999999996</v>
      </c>
    </row>
    <row r="75" spans="1:28" x14ac:dyDescent="0.25">
      <c r="E75" s="9" t="s">
        <v>88</v>
      </c>
      <c r="F75">
        <f>F74/E74*100</f>
        <v>67.332820906994613</v>
      </c>
      <c r="G75">
        <f>G74/E74*100</f>
        <v>4.9192928516525747</v>
      </c>
      <c r="H75">
        <f>H74/E74*100</f>
        <v>12.37509607993851</v>
      </c>
      <c r="I75">
        <f>I74/E74*100</f>
        <v>4.381245196003074</v>
      </c>
      <c r="J75">
        <f>J74/E74*100</f>
        <v>2.9208301306687163</v>
      </c>
      <c r="K75">
        <f>K74/E74*100</f>
        <v>8.0707148347425051</v>
      </c>
      <c r="L75" s="9" t="s">
        <v>88</v>
      </c>
      <c r="M75">
        <f>M74/L74*100</f>
        <v>77.302051065825424</v>
      </c>
      <c r="N75">
        <f>N74/L74*100</f>
        <v>3.8850929708399096</v>
      </c>
      <c r="O75">
        <f>O74/L74*100</f>
        <v>7.124514349048269</v>
      </c>
      <c r="P75">
        <f>P74/L74*100</f>
        <v>0.6651560353482403</v>
      </c>
      <c r="Q75">
        <f>Q74/L74*100</f>
        <v>5.37564188551349</v>
      </c>
      <c r="R75">
        <f>R74/L74*100</f>
        <v>5.6475436934246659</v>
      </c>
    </row>
    <row r="76" spans="1:28" x14ac:dyDescent="0.25">
      <c r="E76" s="13"/>
      <c r="L76" s="13"/>
    </row>
    <row r="91" spans="2:4" x14ac:dyDescent="0.25">
      <c r="B91" s="25"/>
      <c r="C91" s="25"/>
      <c r="D91" s="25"/>
    </row>
    <row r="92" spans="2:4" x14ac:dyDescent="0.25">
      <c r="B92" s="25"/>
      <c r="C92" s="25"/>
      <c r="D92" s="25"/>
    </row>
    <row r="93" spans="2:4" x14ac:dyDescent="0.25">
      <c r="B93" s="25"/>
      <c r="C93" s="25"/>
      <c r="D93" s="25"/>
    </row>
    <row r="94" spans="2:4" x14ac:dyDescent="0.25">
      <c r="B94" s="25"/>
      <c r="C94" s="25"/>
      <c r="D94" s="25"/>
    </row>
    <row r="95" spans="2:4" x14ac:dyDescent="0.25">
      <c r="B95" s="25"/>
      <c r="C95" s="25"/>
      <c r="D95" s="25"/>
    </row>
  </sheetData>
  <sortState ref="A6:AB13">
    <sortCondition descending="1" ref="E6"/>
  </sortState>
  <mergeCells count="8">
    <mergeCell ref="M1:R2"/>
    <mergeCell ref="B91:D91"/>
    <mergeCell ref="B92:D92"/>
    <mergeCell ref="B95:D95"/>
    <mergeCell ref="B93:D93"/>
    <mergeCell ref="B94:D94"/>
    <mergeCell ref="F1:K2"/>
    <mergeCell ref="A1:E2"/>
  </mergeCells>
  <pageMargins left="0.7" right="0.7" top="0.75" bottom="0.75" header="0.3" footer="0.3"/>
  <pageSetup paperSize="9" orientation="portrait" r:id="rId1"/>
  <ignoredErrors>
    <ignoredError sqref="F39 F11 F12:F13 F20:F23 F25:F26 F28:F32 F34 F36:F38 F40:F57 F60:F68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2013-09-04T13:29:43Z</dcterms:modified>
</cp:coreProperties>
</file>